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605" yWindow="450" windowWidth="15300" windowHeight="7185" tabRatio="925" firstSheet="31" activeTab="33"/>
  </bookViews>
  <sheets>
    <sheet name="Intro" sheetId="3" r:id="rId1"/>
    <sheet name="Foreword" sheetId="4" r:id="rId2"/>
    <sheet name="SoCI" sheetId="5" r:id="rId3"/>
    <sheet name="SoFP" sheetId="7" r:id="rId4"/>
    <sheet name="SoCITE" sheetId="8" r:id="rId5"/>
    <sheet name="SoCF" sheetId="9" r:id="rId6"/>
    <sheet name="Accounting Policies" sheetId="10" r:id="rId7"/>
    <sheet name="Est &amp; Judgements " sheetId="11" r:id="rId8"/>
    <sheet name="Segment " sheetId="44" r:id="rId9"/>
    <sheet name="Income" sheetId="12" r:id="rId10"/>
    <sheet name="Other Inc &amp; Exp" sheetId="13" r:id="rId11"/>
    <sheet name="Staff Costs" sheetId="15" r:id="rId12"/>
    <sheet name="Pensions" sheetId="43" r:id="rId13"/>
    <sheet name="Leases &amp; Audit" sheetId="14" r:id="rId14"/>
    <sheet name="PSPP &amp; Finance" sheetId="16" r:id="rId15"/>
    <sheet name="Intangibles" sheetId="18" r:id="rId16"/>
    <sheet name="Tangibles 1" sheetId="19" r:id="rId17"/>
    <sheet name="Tangibles 2" sheetId="46" r:id="rId18"/>
    <sheet name="Tangibles 3" sheetId="47" r:id="rId19"/>
    <sheet name="Impairments &amp; Stock" sheetId="20" r:id="rId20"/>
    <sheet name="Receivables" sheetId="21" r:id="rId21"/>
    <sheet name="Disposal Groups" sheetId="22" r:id="rId22"/>
    <sheet name="Payables &amp; Borrowings" sheetId="23" r:id="rId23"/>
    <sheet name="Other Fin. Liabilities" sheetId="48" r:id="rId24"/>
    <sheet name="Provisions" sheetId="24" r:id="rId25"/>
    <sheet name="Revaluation Reserves" sheetId="30" r:id="rId26"/>
    <sheet name="Cash" sheetId="26" r:id="rId27"/>
    <sheet name="Pooled Budgets OCC" sheetId="27" r:id="rId28"/>
    <sheet name="Pooled Budgets BCC" sheetId="49" r:id="rId29"/>
    <sheet name="PFI" sheetId="28" r:id="rId30"/>
    <sheet name="Comit, pst bs date, contingent" sheetId="37" r:id="rId31"/>
    <sheet name="Related Parties" sheetId="38" r:id="rId32"/>
    <sheet name="PDC &amp; PBL" sheetId="39" r:id="rId33"/>
    <sheet name="Fin. Instruments " sheetId="40" r:id="rId34"/>
    <sheet name="Risk Man" sheetId="50" r:id="rId35"/>
    <sheet name="3rd Party Ass. I-G Bal. Losses" sheetId="41" r:id="rId36"/>
    <sheet name="BCC Pension" sheetId="51" r:id="rId37"/>
  </sheets>
  <definedNames>
    <definedName name="Last_year">Intro!$B$27</definedName>
    <definedName name="Last_year_ended">Intro!$B$29</definedName>
    <definedName name="_xlnm.Print_Area" localSheetId="6">'Accounting Policies'!$A$1:$B$251</definedName>
    <definedName name="_xlnm.Print_Area" localSheetId="0">Intro!$A$1:$B$32</definedName>
    <definedName name="_xlnm.Print_Area" localSheetId="16">'Tangibles 1'!$A$1:$S$41</definedName>
    <definedName name="This_year">Intro!$B$26</definedName>
    <definedName name="This_year_beginning">Intro!$B$30</definedName>
    <definedName name="This_year_ended">Intro!$B$28</definedName>
    <definedName name="Trust_name">Intro!$B$25</definedName>
  </definedNames>
  <calcPr calcId="125725"/>
</workbook>
</file>

<file path=xl/calcChain.xml><?xml version="1.0" encoding="utf-8"?>
<calcChain xmlns="http://schemas.openxmlformats.org/spreadsheetml/2006/main">
  <c r="E6" i="40"/>
  <c r="G14" i="41"/>
  <c r="M27" i="24"/>
  <c r="M26"/>
  <c r="E29" i="19"/>
  <c r="A13" i="4" l="1"/>
  <c r="A11"/>
  <c r="K22" i="24" l="1"/>
  <c r="D8" i="47" l="1"/>
  <c r="C49" i="15" l="1"/>
  <c r="C50"/>
  <c r="C31"/>
  <c r="C35" i="12" l="1"/>
  <c r="C29" i="13" l="1"/>
  <c r="C27"/>
  <c r="B20" i="39" l="1"/>
  <c r="D23"/>
  <c r="B42" i="38"/>
  <c r="D32" i="15"/>
  <c r="I21" i="14" l="1"/>
  <c r="I20"/>
  <c r="M23"/>
  <c r="K23"/>
  <c r="M17"/>
  <c r="K17"/>
  <c r="B27" i="41" l="1"/>
  <c r="D12" i="27"/>
  <c r="C12"/>
  <c r="B37" i="24"/>
  <c r="E42" i="16"/>
  <c r="C42"/>
  <c r="E38" i="15"/>
  <c r="D13"/>
  <c r="C13" s="1"/>
  <c r="D12" i="8"/>
  <c r="B12"/>
  <c r="I19" i="48" l="1"/>
  <c r="C5" i="13" l="1"/>
  <c r="G25" i="40" l="1"/>
  <c r="G24"/>
  <c r="G23"/>
  <c r="G22"/>
  <c r="G21"/>
  <c r="G26" l="1"/>
  <c r="I8" l="1"/>
  <c r="I7"/>
  <c r="I6"/>
  <c r="I9" l="1"/>
  <c r="E12" i="27" l="1"/>
  <c r="E11"/>
  <c r="C23" i="39" l="1"/>
  <c r="D12" i="26"/>
  <c r="B17" i="30"/>
  <c r="B7"/>
  <c r="C17" i="24"/>
  <c r="E17"/>
  <c r="G17"/>
  <c r="G19" i="48"/>
  <c r="E19"/>
  <c r="C19"/>
  <c r="C24" i="20"/>
  <c r="C12"/>
  <c r="B11" i="47"/>
  <c r="B10"/>
  <c r="B7"/>
  <c r="B6"/>
  <c r="T7"/>
  <c r="B39" i="19"/>
  <c r="B34"/>
  <c r="E33"/>
  <c r="C10" i="18"/>
  <c r="G41" i="14"/>
  <c r="E41"/>
  <c r="C51" i="15"/>
  <c r="C52"/>
  <c r="C53"/>
  <c r="C48"/>
  <c r="C55"/>
  <c r="G9"/>
  <c r="C54" l="1"/>
  <c r="G16"/>
  <c r="C11" i="13" l="1"/>
  <c r="C13"/>
  <c r="E9" l="1"/>
  <c r="E13" s="1"/>
  <c r="F22" i="8"/>
  <c r="B22"/>
  <c r="G9" i="30" l="1"/>
  <c r="M24" i="24"/>
  <c r="M25"/>
  <c r="M28"/>
  <c r="M22"/>
  <c r="K23"/>
  <c r="E23"/>
  <c r="K32"/>
  <c r="M32" s="1"/>
  <c r="M33"/>
  <c r="M34"/>
  <c r="C7" i="48"/>
  <c r="G7"/>
  <c r="H27" i="21"/>
  <c r="C27"/>
  <c r="H17"/>
  <c r="C17"/>
  <c r="C11" i="23"/>
  <c r="C15" s="1"/>
  <c r="G15"/>
  <c r="T6" i="47"/>
  <c r="T8" s="1"/>
  <c r="C12" i="18"/>
  <c r="C28" i="15"/>
  <c r="C15"/>
  <c r="C21" i="12"/>
  <c r="C42" i="9"/>
  <c r="C32"/>
  <c r="E27" i="5"/>
  <c r="B4" i="37"/>
  <c r="M23" i="24" l="1"/>
  <c r="B4" i="41"/>
  <c r="C28" i="20" l="1"/>
  <c r="C38"/>
  <c r="E45" i="40" l="1"/>
  <c r="C45"/>
  <c r="C11" i="9" l="1"/>
  <c r="C25" s="1"/>
  <c r="C44" s="1"/>
  <c r="H27" i="5"/>
  <c r="C30" i="49" l="1"/>
  <c r="E22"/>
  <c r="D22"/>
  <c r="E9"/>
  <c r="D11"/>
  <c r="D24" i="27"/>
  <c r="G28" i="23"/>
  <c r="C28"/>
  <c r="I8" i="24"/>
  <c r="I17" s="1"/>
  <c r="I5"/>
  <c r="G5"/>
  <c r="G29"/>
  <c r="E15" i="5" l="1"/>
  <c r="E29" s="1"/>
  <c r="D57" i="7"/>
  <c r="D44"/>
  <c r="D34"/>
  <c r="D24"/>
  <c r="D15"/>
  <c r="F44" i="8"/>
  <c r="B44"/>
  <c r="E93" i="51"/>
  <c r="C93"/>
  <c r="E78"/>
  <c r="C78"/>
  <c r="E69"/>
  <c r="C69"/>
  <c r="C66"/>
  <c r="E66"/>
  <c r="E58"/>
  <c r="C58"/>
  <c r="E49"/>
  <c r="C49"/>
  <c r="C21" i="41"/>
  <c r="E21"/>
  <c r="G21"/>
  <c r="I21"/>
  <c r="G28" i="40"/>
  <c r="G29"/>
  <c r="G30"/>
  <c r="G31"/>
  <c r="G32"/>
  <c r="C33"/>
  <c r="E33"/>
  <c r="I11"/>
  <c r="I12"/>
  <c r="I13"/>
  <c r="E14"/>
  <c r="G14"/>
  <c r="C39" i="49"/>
  <c r="F7" i="26"/>
  <c r="C16" i="30"/>
  <c r="C14"/>
  <c r="C15"/>
  <c r="C12"/>
  <c r="C11"/>
  <c r="C10"/>
  <c r="C9"/>
  <c r="C8"/>
  <c r="I7"/>
  <c r="I8"/>
  <c r="I9"/>
  <c r="I10"/>
  <c r="I11"/>
  <c r="I12"/>
  <c r="I13"/>
  <c r="I14"/>
  <c r="I15"/>
  <c r="I16"/>
  <c r="K17"/>
  <c r="M17"/>
  <c r="C21" i="24"/>
  <c r="E7" i="48"/>
  <c r="I28" i="23"/>
  <c r="E28"/>
  <c r="E15"/>
  <c r="B4" i="22"/>
  <c r="E36" i="21"/>
  <c r="J27"/>
  <c r="E27"/>
  <c r="J17"/>
  <c r="E17"/>
  <c r="E38" i="20"/>
  <c r="E28"/>
  <c r="C4"/>
  <c r="E40" i="46"/>
  <c r="D46" i="7" l="1"/>
  <c r="I14" i="40"/>
  <c r="E33" i="5"/>
  <c r="E43" s="1"/>
  <c r="G33" i="40"/>
  <c r="I17" i="30"/>
  <c r="Q40" i="46" l="1"/>
  <c r="O40"/>
  <c r="M40"/>
  <c r="K40"/>
  <c r="I40"/>
  <c r="G40"/>
  <c r="C40"/>
  <c r="Q35"/>
  <c r="O35"/>
  <c r="M35"/>
  <c r="K35"/>
  <c r="I35"/>
  <c r="G35"/>
  <c r="E35"/>
  <c r="C35"/>
  <c r="Q29"/>
  <c r="O29"/>
  <c r="M29"/>
  <c r="K29"/>
  <c r="G29"/>
  <c r="E29"/>
  <c r="C29"/>
  <c r="I29" l="1"/>
  <c r="S21"/>
  <c r="Q19"/>
  <c r="O19"/>
  <c r="M19"/>
  <c r="K19"/>
  <c r="I19"/>
  <c r="G19"/>
  <c r="E19"/>
  <c r="C19"/>
  <c r="C37" i="19"/>
  <c r="E37"/>
  <c r="E38"/>
  <c r="E39"/>
  <c r="G50" i="15"/>
  <c r="G49"/>
  <c r="C19" i="19" l="1"/>
  <c r="E19"/>
  <c r="G19"/>
  <c r="I19"/>
  <c r="K19"/>
  <c r="M19"/>
  <c r="O19"/>
  <c r="Q19"/>
  <c r="C13" i="16"/>
  <c r="E13"/>
  <c r="G13"/>
  <c r="I13"/>
  <c r="C9"/>
  <c r="E9"/>
  <c r="I9"/>
  <c r="G9"/>
  <c r="E49" i="14"/>
  <c r="G23"/>
  <c r="C23"/>
  <c r="I23"/>
  <c r="E23"/>
  <c r="C12"/>
  <c r="C55" i="13"/>
  <c r="E55"/>
  <c r="E35" i="12"/>
  <c r="E21"/>
  <c r="C7"/>
  <c r="E7"/>
  <c r="C14" i="44"/>
  <c r="C12"/>
  <c r="E14"/>
  <c r="E12"/>
  <c r="E11" i="9"/>
  <c r="E25" s="1"/>
  <c r="E32"/>
  <c r="E42"/>
  <c r="C44" i="8"/>
  <c r="E44"/>
  <c r="D44"/>
  <c r="E9" i="14"/>
  <c r="E12" s="1"/>
  <c r="E44" i="9" l="1"/>
  <c r="E46" s="1"/>
  <c r="B38" i="38"/>
  <c r="E54" i="15"/>
  <c r="D54"/>
  <c r="G46"/>
  <c r="E46"/>
  <c r="D46"/>
  <c r="C46"/>
  <c r="E40"/>
  <c r="G36"/>
  <c r="E36"/>
  <c r="G40" l="1"/>
  <c r="E33" i="16" l="1"/>
  <c r="C33"/>
  <c r="E30"/>
  <c r="C30"/>
  <c r="E26"/>
  <c r="C26"/>
  <c r="G49" i="14"/>
  <c r="G46"/>
  <c r="E46"/>
  <c r="G36"/>
  <c r="E36"/>
  <c r="C22" i="51" l="1"/>
  <c r="C13"/>
  <c r="E101"/>
  <c r="C101"/>
  <c r="E90"/>
  <c r="C90"/>
  <c r="E75"/>
  <c r="C75"/>
  <c r="E55"/>
  <c r="C55"/>
  <c r="F30"/>
  <c r="E30"/>
  <c r="D30"/>
  <c r="C30"/>
  <c r="D14" i="27" l="1"/>
  <c r="E14"/>
  <c r="C14"/>
  <c r="E4" i="20" l="1"/>
  <c r="E16" i="15"/>
  <c r="D16" l="1"/>
  <c r="C30"/>
  <c r="A5" i="5" l="1"/>
  <c r="H7"/>
  <c r="E7"/>
  <c r="D6" i="7"/>
  <c r="G7" i="30"/>
  <c r="E7"/>
  <c r="C7"/>
  <c r="R12" i="47"/>
  <c r="P12"/>
  <c r="N12"/>
  <c r="L12"/>
  <c r="J12"/>
  <c r="F12"/>
  <c r="D12"/>
  <c r="T12" l="1"/>
  <c r="Q37" i="19"/>
  <c r="O37"/>
  <c r="K39"/>
  <c r="K37"/>
  <c r="I37"/>
  <c r="G37"/>
  <c r="Q35"/>
  <c r="O35"/>
  <c r="M35"/>
  <c r="K35"/>
  <c r="I35"/>
  <c r="G35"/>
  <c r="E35"/>
  <c r="C35"/>
  <c r="S34"/>
  <c r="S33"/>
  <c r="S32"/>
  <c r="Q40"/>
  <c r="O40"/>
  <c r="M40"/>
  <c r="K40"/>
  <c r="I40"/>
  <c r="G40"/>
  <c r="E40"/>
  <c r="C40"/>
  <c r="S34" i="46"/>
  <c r="S33"/>
  <c r="S32"/>
  <c r="S39"/>
  <c r="S38"/>
  <c r="S37"/>
  <c r="S28"/>
  <c r="S27"/>
  <c r="S26"/>
  <c r="S25"/>
  <c r="S24"/>
  <c r="S23"/>
  <c r="S22"/>
  <c r="S18"/>
  <c r="S17"/>
  <c r="S16"/>
  <c r="S15"/>
  <c r="S14"/>
  <c r="S13"/>
  <c r="S12"/>
  <c r="S11"/>
  <c r="S10"/>
  <c r="S9"/>
  <c r="S8"/>
  <c r="S29" l="1"/>
  <c r="S40"/>
  <c r="S19"/>
  <c r="S35"/>
  <c r="S35" i="19"/>
  <c r="C14" i="40"/>
  <c r="B4" i="39"/>
  <c r="E47" i="28"/>
  <c r="E31"/>
  <c r="E33" s="1"/>
  <c r="F12" i="26"/>
  <c r="I13" i="48"/>
  <c r="G13"/>
  <c r="E13"/>
  <c r="C13"/>
  <c r="K29" i="24"/>
  <c r="I21"/>
  <c r="M21" s="1"/>
  <c r="M29" s="1"/>
  <c r="E29"/>
  <c r="C29"/>
  <c r="C32" i="21"/>
  <c r="E30"/>
  <c r="C30"/>
  <c r="E16" i="18"/>
  <c r="E12"/>
  <c r="E8"/>
  <c r="C6" s="1"/>
  <c r="B12"/>
  <c r="B10"/>
  <c r="B8"/>
  <c r="B6"/>
  <c r="C4"/>
  <c r="E4"/>
  <c r="I29" i="24" l="1"/>
  <c r="G32" i="15"/>
  <c r="E6" i="8" l="1"/>
  <c r="C6"/>
  <c r="C22" s="1"/>
  <c r="E9" i="44" l="1"/>
  <c r="I9"/>
  <c r="E42" i="49"/>
  <c r="D42"/>
  <c r="C41"/>
  <c r="C40"/>
  <c r="C38"/>
  <c r="E31"/>
  <c r="D30"/>
  <c r="D32" s="1"/>
  <c r="E29"/>
  <c r="E28"/>
  <c r="C21"/>
  <c r="C20"/>
  <c r="C19"/>
  <c r="E12"/>
  <c r="C11"/>
  <c r="C13" s="1"/>
  <c r="B3"/>
  <c r="I7" i="48"/>
  <c r="I4"/>
  <c r="G4"/>
  <c r="E4"/>
  <c r="C4"/>
  <c r="D36" i="47"/>
  <c r="F36"/>
  <c r="F30"/>
  <c r="D30"/>
  <c r="R8"/>
  <c r="P8"/>
  <c r="N8"/>
  <c r="L8"/>
  <c r="J8"/>
  <c r="H8"/>
  <c r="F8"/>
  <c r="C18" i="49" l="1"/>
  <c r="C22" s="1"/>
  <c r="C42"/>
  <c r="E11"/>
  <c r="E10"/>
  <c r="D13"/>
  <c r="E13" s="1"/>
  <c r="E30"/>
  <c r="M9" i="44"/>
  <c r="K9"/>
  <c r="G9"/>
  <c r="C9"/>
  <c r="C32" i="49" l="1"/>
  <c r="E32" s="1"/>
  <c r="A45" i="9" l="1"/>
  <c r="A6" i="8"/>
  <c r="B36" i="21" l="1"/>
  <c r="B32"/>
  <c r="H15" i="5"/>
  <c r="H29" l="1"/>
  <c r="B21" i="24" l="1"/>
  <c r="B40" i="19"/>
  <c r="B38"/>
  <c r="B37"/>
  <c r="B21"/>
  <c r="B8"/>
  <c r="B23" i="18"/>
  <c r="B7" i="26"/>
  <c r="B5"/>
  <c r="B26" i="22"/>
  <c r="B20"/>
  <c r="B13"/>
  <c r="B7"/>
  <c r="B25" i="18"/>
  <c r="B15"/>
  <c r="B16"/>
  <c r="B29" i="24"/>
  <c r="B35" i="19"/>
  <c r="B33"/>
  <c r="B32"/>
  <c r="B29"/>
  <c r="B19"/>
  <c r="A22" i="8"/>
  <c r="B22" i="3" l="1"/>
  <c r="C14" i="41"/>
  <c r="I14"/>
  <c r="E14"/>
  <c r="B14"/>
  <c r="B21"/>
  <c r="E26" i="40"/>
  <c r="C26"/>
  <c r="B26"/>
  <c r="B33"/>
  <c r="C9"/>
  <c r="E9"/>
  <c r="G9"/>
  <c r="B9"/>
  <c r="B14"/>
  <c r="B10" i="39"/>
  <c r="B3" i="38"/>
  <c r="D19" i="37"/>
  <c r="C19"/>
  <c r="D25"/>
  <c r="C25"/>
  <c r="D22"/>
  <c r="C22"/>
  <c r="D15"/>
  <c r="C15"/>
  <c r="C47" i="28"/>
  <c r="E41"/>
  <c r="C41"/>
  <c r="C31"/>
  <c r="C33" s="1"/>
  <c r="E26"/>
  <c r="C26"/>
  <c r="B5" i="27"/>
  <c r="E24"/>
  <c r="C21"/>
  <c r="C22"/>
  <c r="C23"/>
  <c r="C20"/>
  <c r="C24" l="1"/>
  <c r="D5" i="26" l="1"/>
  <c r="D7" s="1"/>
  <c r="F3"/>
  <c r="D3"/>
  <c r="G17" i="30"/>
  <c r="E17"/>
  <c r="I3"/>
  <c r="C3"/>
  <c r="E5" i="24"/>
  <c r="C5"/>
  <c r="I20" i="23"/>
  <c r="G20"/>
  <c r="E20"/>
  <c r="C20"/>
  <c r="I15"/>
  <c r="I4"/>
  <c r="G4"/>
  <c r="E4"/>
  <c r="C4"/>
  <c r="M26" i="22"/>
  <c r="K26"/>
  <c r="I26"/>
  <c r="G26"/>
  <c r="E26"/>
  <c r="C26"/>
  <c r="O20"/>
  <c r="O26" s="1"/>
  <c r="E13"/>
  <c r="G13"/>
  <c r="I13"/>
  <c r="C13"/>
  <c r="K7"/>
  <c r="C36" i="21"/>
  <c r="E22"/>
  <c r="C22"/>
  <c r="J22"/>
  <c r="H22"/>
  <c r="J5"/>
  <c r="H5"/>
  <c r="E5"/>
  <c r="C5"/>
  <c r="C17" i="30" l="1"/>
  <c r="K13" i="22"/>
  <c r="S21" i="19" l="1"/>
  <c r="S37"/>
  <c r="S39"/>
  <c r="S38"/>
  <c r="C29"/>
  <c r="Q29"/>
  <c r="O29"/>
  <c r="M29"/>
  <c r="K29"/>
  <c r="I29"/>
  <c r="G29"/>
  <c r="S28"/>
  <c r="S27"/>
  <c r="S26"/>
  <c r="S25"/>
  <c r="S24"/>
  <c r="S23"/>
  <c r="S22"/>
  <c r="S9"/>
  <c r="S10"/>
  <c r="S11"/>
  <c r="S12"/>
  <c r="S13"/>
  <c r="S14"/>
  <c r="S15"/>
  <c r="S16"/>
  <c r="S17"/>
  <c r="S18"/>
  <c r="S8"/>
  <c r="E33" i="20"/>
  <c r="C33"/>
  <c r="C21"/>
  <c r="E21"/>
  <c r="S19" i="19" l="1"/>
  <c r="S40"/>
  <c r="S29"/>
  <c r="C25" i="18" l="1"/>
  <c r="E25"/>
  <c r="E21"/>
  <c r="C21"/>
  <c r="C16"/>
  <c r="C8"/>
  <c r="C22" i="16" l="1"/>
  <c r="E22"/>
  <c r="E18"/>
  <c r="C18"/>
  <c r="G4"/>
  <c r="C4"/>
  <c r="E32" i="15"/>
  <c r="C29"/>
  <c r="C27"/>
  <c r="C26"/>
  <c r="C25"/>
  <c r="C24"/>
  <c r="C21"/>
  <c r="C10"/>
  <c r="C11"/>
  <c r="C12"/>
  <c r="C14"/>
  <c r="C6"/>
  <c r="I17" i="14"/>
  <c r="G17"/>
  <c r="E17"/>
  <c r="C17"/>
  <c r="E7"/>
  <c r="C7"/>
  <c r="E16" i="13"/>
  <c r="C16"/>
  <c r="E3"/>
  <c r="C3"/>
  <c r="E25" i="12"/>
  <c r="C25"/>
  <c r="E12"/>
  <c r="C12"/>
  <c r="E3"/>
  <c r="C3"/>
  <c r="E5" i="9"/>
  <c r="C5"/>
  <c r="A4"/>
  <c r="C32" i="15" l="1"/>
  <c r="C46" i="9"/>
  <c r="C9" i="15"/>
  <c r="C16" s="1"/>
  <c r="F6" i="7" l="1"/>
  <c r="F57"/>
  <c r="F44"/>
  <c r="F34"/>
  <c r="F24"/>
  <c r="F15"/>
  <c r="A4"/>
  <c r="H33" i="5"/>
  <c r="H43" l="1"/>
  <c r="F46" i="7"/>
  <c r="A7" i="4"/>
  <c r="E22" i="8"/>
  <c r="D22"/>
</calcChain>
</file>

<file path=xl/sharedStrings.xml><?xml version="1.0" encoding="utf-8"?>
<sst xmlns="http://schemas.openxmlformats.org/spreadsheetml/2006/main" count="1301" uniqueCount="883">
  <si>
    <t>Trust name:</t>
  </si>
  <si>
    <t>This year</t>
  </si>
  <si>
    <t>Last year</t>
  </si>
  <si>
    <t>This year ended</t>
  </si>
  <si>
    <t>Last year ended</t>
  </si>
  <si>
    <t>This year beginning</t>
  </si>
  <si>
    <t>Oxford Health NHS Foundation Trust</t>
  </si>
  <si>
    <t>Date: ……………………</t>
  </si>
  <si>
    <t>STATEMENT OF COMPREHENSIVE INCOME FOR THE YEAR ENDED</t>
  </si>
  <si>
    <t>NOTE</t>
  </si>
  <si>
    <t>Operating income</t>
  </si>
  <si>
    <t>Operating expenses</t>
  </si>
  <si>
    <t>Operating surplus</t>
  </si>
  <si>
    <t>Finance costs</t>
  </si>
  <si>
    <t>Finance income</t>
  </si>
  <si>
    <t>Financial expense - financial liabilities</t>
  </si>
  <si>
    <t>Public Dividend Capital dividends payable</t>
  </si>
  <si>
    <t>Net finance costs</t>
  </si>
  <si>
    <t>Surplus from continuing operations</t>
  </si>
  <si>
    <t>Surplus from discontinued operations</t>
  </si>
  <si>
    <t>Other comprehensive income :</t>
  </si>
  <si>
    <t>Actuarial gains/(losses) on defined benefit pension schemes</t>
  </si>
  <si>
    <t>TOTAL COMPREHENSIVE INCOME AND EXPENSE FOR THE YEAR</t>
  </si>
  <si>
    <t>All income and expenditure is derived from continuing operations.</t>
  </si>
  <si>
    <t>£000</t>
  </si>
  <si>
    <t>STATEMENT OF FINANCIAL POSITION AS AT</t>
  </si>
  <si>
    <t xml:space="preserve">NON-CURRENT ASSETS </t>
  </si>
  <si>
    <t>Intangible assets</t>
  </si>
  <si>
    <t>Property, plant and equipment</t>
  </si>
  <si>
    <t>Trade and other receivables</t>
  </si>
  <si>
    <t>CURRENT ASSETS</t>
  </si>
  <si>
    <t>Inventories</t>
  </si>
  <si>
    <t>Non-current assets held for sale</t>
  </si>
  <si>
    <t>Cash and cash equivalents</t>
  </si>
  <si>
    <t xml:space="preserve">CURRENT LIABILITIES </t>
  </si>
  <si>
    <t>Trade and other payables</t>
  </si>
  <si>
    <t>Borrowings</t>
  </si>
  <si>
    <t>Other financial liabilities</t>
  </si>
  <si>
    <t>Provisions</t>
  </si>
  <si>
    <t>Other liabilities</t>
  </si>
  <si>
    <t>Total Current Liabilities</t>
  </si>
  <si>
    <t xml:space="preserve">NON CURRENT LIABILITIES </t>
  </si>
  <si>
    <t>Total Non Current Liabilities</t>
  </si>
  <si>
    <t>TOTAL ASSETS EMPLOYED</t>
  </si>
  <si>
    <t>TAXPAYERS' EQUITY</t>
  </si>
  <si>
    <t>Public dividend capital</t>
  </si>
  <si>
    <t>Revaluation reserve</t>
  </si>
  <si>
    <t>Available for sale financial assets reserve</t>
  </si>
  <si>
    <t>Other reserves</t>
  </si>
  <si>
    <t>Merger reserve</t>
  </si>
  <si>
    <t>Income and expenditure reserve</t>
  </si>
  <si>
    <t>TOTAL TAXPAYERS' EQUITY</t>
  </si>
  <si>
    <t>Date:</t>
  </si>
  <si>
    <t>Total</t>
  </si>
  <si>
    <t>Public Dividend Capital</t>
  </si>
  <si>
    <t>Revaluation Reserve</t>
  </si>
  <si>
    <t>Other Reserves</t>
  </si>
  <si>
    <t>Income and Expenditure Reserve</t>
  </si>
  <si>
    <t>Transfer of the excess of current cost depreciation over historical cost depreciation to the income and expenditure reserve</t>
  </si>
  <si>
    <t>Movements on other reserves</t>
  </si>
  <si>
    <t>Cash flows from operating activities</t>
  </si>
  <si>
    <t>Operating surplus/(deficit)</t>
  </si>
  <si>
    <t>Non-cash income and expense:</t>
  </si>
  <si>
    <t>Depreciation and amortisation</t>
  </si>
  <si>
    <t>Impairments</t>
  </si>
  <si>
    <t>Reversals of impairments</t>
  </si>
  <si>
    <t>Other movements in operating cash flows</t>
  </si>
  <si>
    <t>Interest received</t>
  </si>
  <si>
    <t>Purchase of intangible assets</t>
  </si>
  <si>
    <t>Purchase of property, plant and equipment</t>
  </si>
  <si>
    <t>Sales of property, plant and equipment</t>
  </si>
  <si>
    <t xml:space="preserve">Loans received </t>
  </si>
  <si>
    <t>Loans repaid</t>
  </si>
  <si>
    <t>Capital element of private finance initiative obligations</t>
  </si>
  <si>
    <t>Interest paid</t>
  </si>
  <si>
    <t>Financing element of private finance initiative obligations</t>
  </si>
  <si>
    <t>PDC dividend paid</t>
  </si>
  <si>
    <t>NET CASH GENERATED FROM/(USED IN) FINANCING ACTIVITIES</t>
  </si>
  <si>
    <t>Cash flows from investing activities:</t>
  </si>
  <si>
    <t>Cash flows from financing activities:</t>
  </si>
  <si>
    <t>NOTES TO THE ACCOUNTS</t>
  </si>
  <si>
    <t>Income</t>
  </si>
  <si>
    <t>Income in respect of services provided is recognised when, and to the extent that, performance occurs and is measured at the fair value of the consideration receivable. The main source of income for the Trust is contracts with commissioners in respect of healthcare services.
Where income is received for a specific activity which is to be delivered in the following financial year, that income is deferred.
Income from the sale of non-current assets is recognised only when all material conditions of sale have been met, and is measured as the sums due under the sale contract.</t>
  </si>
  <si>
    <t>Salaries, wages and employment-related payments are recognised in the period in which the service is received from employees. The cost of annual leave entitlement earned but not taken by employees at the end of the period is recognised in the financial statements to the extent that employees are permitted to carry-forward leave into the following period.</t>
  </si>
  <si>
    <t>Pension costs</t>
  </si>
  <si>
    <t>NHS Pension Scheme</t>
  </si>
  <si>
    <t>Employers pension cost contributions are charged to operating expenses as and when they become due.</t>
  </si>
  <si>
    <t>Additional pension liabilities arising from early retirements are not funded by the scheme except where the retirement is due to ill-health. The full amount of the liability for the additional costs is charged to the  operating expenses at the time the trust commits itself to the retirement, regardless of the method of payment.</t>
  </si>
  <si>
    <t xml:space="preserve">Expenditure on other goods and services </t>
  </si>
  <si>
    <t>Expenditure on goods and services is recognised when, and to the extent that they have been received, and is measured at the fair value of those goods and services. Expenditure is recognised in operating expenses except where it results in the creation of a non-current asset such as property, plant and equipment.</t>
  </si>
  <si>
    <t>Recognition</t>
  </si>
  <si>
    <t>Property, Plant and Equipment is capitalised where:
    • it is held for use in delivering services or for administrative purposes;
    • it is probable that future economic benefits will flow to, or service potential be provided to, the Trust;
    • it is expected to be used for more than one financial year; and
    • the cost of the item can be measured reliably.</t>
  </si>
  <si>
    <t>Measurement</t>
  </si>
  <si>
    <t>Valuation</t>
  </si>
  <si>
    <t xml:space="preserve">Subsequent expenditure </t>
  </si>
  <si>
    <t>Depreciation</t>
  </si>
  <si>
    <t>Items of Property, Plant and Equipment are depreciated over their remaining useful economic lives in a manner consistent with the consumption of economic or service delivery benefits. Freehold land is considered to have an infinite life and is not depreciated.</t>
  </si>
  <si>
    <t>Gains and losses recognised in the revaluation reserve are reported in the Statement of Comprehensive Income as an item of ‘other comprehensive income’.</t>
  </si>
  <si>
    <t xml:space="preserve">De-recognition </t>
  </si>
  <si>
    <t>Property, plant and equipment which is to be scrapped or demolished does not qualify for recognition as ‘Held for Sale’ and instead is retained as an operational asset and the asset’s economic life is adjusted. The asset is de-recognised when scrapping or demolition occurs.</t>
  </si>
  <si>
    <r>
      <t xml:space="preserve">PFI transactions which meet the IFRIC 12 definition of a service concession, as interpreted in HM Treasury’s </t>
    </r>
    <r>
      <rPr>
        <i/>
        <sz val="10"/>
        <color indexed="8"/>
        <rFont val="Arial"/>
        <family val="2"/>
      </rPr>
      <t>FReM</t>
    </r>
    <r>
      <rPr>
        <sz val="10"/>
        <color indexed="8"/>
        <rFont val="Arial"/>
        <family val="2"/>
      </rPr>
      <t xml:space="preserve">, are accounted for as ‘on-statement of financial position’ by the Trust. The underlying assets are recognised as Property, Plant and Equipment at their fair value. An equivalent financial liability is recognised in accordance with IAS 17. </t>
    </r>
  </si>
  <si>
    <t>Intangible assets are non-monetary assets without physical substance which are capable of being sold separately from the rest of the Trust’s business or which arise from contractual or other legal rights. They are recognised only where it is probable that future economic benefits will flow to, or service potential be provided to, the Trust and where the cost of the asset can be measured reliably.</t>
  </si>
  <si>
    <t xml:space="preserve">Internally generated intangible assets </t>
  </si>
  <si>
    <t xml:space="preserve">Internally generated goodwill, brands, mastheads, publishing titles, customer lists and similar items are not capitalised as intangible assets. </t>
  </si>
  <si>
    <t xml:space="preserve">Expenditure on research is not capitalised. </t>
  </si>
  <si>
    <t>Software</t>
  </si>
  <si>
    <t xml:space="preserve">Software which is integral to the operation of hardware e.g. an operating system, is capitalised as part of the relevant item of property, plant and equipment. Software which is not integral to the operation of hardware e.g. application software, is capitalised as an intangible asset. </t>
  </si>
  <si>
    <t xml:space="preserve">Intangible assets are recognised initially at cost, comprising all directly attributable costs needed to create, produce and prepare the asset to the point that it is capable of operating in the manner intended by management. </t>
  </si>
  <si>
    <t xml:space="preserve">Intangible assets held for sale are measured at the lower of their carrying amount or ‘fair value less costs to sell’. </t>
  </si>
  <si>
    <t>Amortisation</t>
  </si>
  <si>
    <t xml:space="preserve">Intangible assets are amortised over their expected useful economic lives in a manner consistent with the consumption of economic or service delivery benefits. </t>
  </si>
  <si>
    <t xml:space="preserve">Inventories </t>
  </si>
  <si>
    <t xml:space="preserve">Financial instruments and financial liabilities </t>
  </si>
  <si>
    <t xml:space="preserve">Financial assets and financial liabilities which arise from contracts for the purchase or sale of non-financial items (such as goods or services), which are entered into in accordance with the Trust’s normal purchase, sale or usage requirements, are recognised when, and to the extent which, performance occurs i.e. when receipt or delivery of the goods or services is made. </t>
  </si>
  <si>
    <t>Financial assets or financial liabilities in respect of assets acquired or disposed of through finance leases are recognised and measured in accordance with the accounting policy for leases described below.</t>
  </si>
  <si>
    <t xml:space="preserve">Financial liabilities are de-recognised when the obligation is discharged, cancelled or expires. </t>
  </si>
  <si>
    <t xml:space="preserve">Financial assets and financial liabilities at ‘fair value through income and expenditure’ are financial assets or financial liabilities held for trading. A financial asset or financial liability is classified in this category if acquired principally for the purpose of selling in the short-term. Derivatives are also categorised as held for trading unless they are designated as hedges. Assets and liabilities in this category are classified as current assets and current liabilities. </t>
  </si>
  <si>
    <t>These financial assets and financial liabilities are recognised initially at fair value, with transaction costs expensed in the income and expenditure account. Subsequent movements in the fair value are recognised as gains or losses in the Statement of Comprehensive Income.</t>
  </si>
  <si>
    <t xml:space="preserve">Loans and receivables </t>
  </si>
  <si>
    <t xml:space="preserve">
The Trust’s loans and receivables comprise: cash at bank and in hand, NHS debtors, accrued income and ‘other debtors’. </t>
  </si>
  <si>
    <t xml:space="preserve">
Loans and receivables are recognised initially at fair value, net of transactions costs, and are measured subsequently at amortised cost, using the effective interest method. The effective interest rate is the rate that discounts exactly estimated future cash receipts through the expected life of the financial asset or, when appropriate, a shorter period, to the net carrying amount of the financial asset. </t>
  </si>
  <si>
    <t xml:space="preserve">
Interest on loans and receivables is calculated using the effective interest method and credited to the Statement of Comprehensive Income. </t>
  </si>
  <si>
    <t xml:space="preserve">Other financial liabilities </t>
  </si>
  <si>
    <t xml:space="preserve">All other financial liabilities are recognised initially at fair value, net of transaction costs incurred, and measured subsequently at amortised cost using the effective interest method. The effective interest rate is the rate that discounts exactly estimated future cash payments through the expected life of the financial liability or, when appropriate, a shorter period, to the net carrying amount of the financial liability. </t>
  </si>
  <si>
    <t xml:space="preserve">Determination of fair value </t>
  </si>
  <si>
    <t xml:space="preserve">For financial assets and financial liabilities carried at fair value, the carrying amounts are determined from quoted market prices, independent appraisals and discounted cash flow analysis. </t>
  </si>
  <si>
    <t xml:space="preserve">Impairment of financial assets </t>
  </si>
  <si>
    <t xml:space="preserve">
For financial assets carried at amortised cost, the amount of the impairment loss is measured as the difference between the asset’s carrying amount and the present value of the revised future cash flows discounted at the asset’s original effective interest rate. The loss is recognised in the Statement of Comprehensive Income and the carrying amount of the asset is reduced directly.</t>
  </si>
  <si>
    <t>Leases</t>
  </si>
  <si>
    <t xml:space="preserve">Finance leases </t>
  </si>
  <si>
    <t xml:space="preserve">Operating leases </t>
  </si>
  <si>
    <t>Other leases are regarded as operating leases and the rentals are charged to operating expenses on a straight-line basis over the term of the lease. Operating lease incentives received are added to the lease rentals and charged to operating expenses over the life of the lease.</t>
  </si>
  <si>
    <t xml:space="preserve">Leases of land and buildings </t>
  </si>
  <si>
    <t xml:space="preserve">Where a lease is for land and buildings, the land component is separated from the building component and the classification for each is assessed separately. Leased land is treated as an operating lease. </t>
  </si>
  <si>
    <t xml:space="preserve">Clinical negligence costs </t>
  </si>
  <si>
    <t xml:space="preserve">Non-clinical risk pooling </t>
  </si>
  <si>
    <t xml:space="preserve">The Trust participates in the Property Expenses Scheme and the Liabilities to Third Parties Scheme. Both are risk pooling schemes under which the trust pays an annual contribution to the NHS Litigation Authority and in return receives assistance with the costs of claims arising. The annual membership contributions, and any ‘excesses’ payable in respect of particular claims are charged to operating expenses when the liability arises.  </t>
  </si>
  <si>
    <t>Contingencies</t>
  </si>
  <si>
    <t xml:space="preserve">Public dividend capital (PDC) is a type of public sector equity finance based on the excess of assets over liabilities at the time of establishment of the predecessor NHS Trust. HM Treasury has determined that PDC is not a financial instrument within the meaning of IAS 32. </t>
  </si>
  <si>
    <t>Most of the activities of the Trust are outside the scope of VAT and, in general, output tax does not apply and input tax on purchases is not recoverable. Irrecoverable VAT is charged to the relevant expenditure category or included in the capitalised purchase cost of fixed assets. Where output tax is charged or input VAT is recoverable, the amounts are stated net of VAT.</t>
  </si>
  <si>
    <t xml:space="preserve">Foreign exchange </t>
  </si>
  <si>
    <t xml:space="preserve">The functional and presentational currencies of the Trust are sterling. </t>
  </si>
  <si>
    <t xml:space="preserve">A transaction which is denominated in a foreign currency is translated into the functional currency at the spot exchange rate on the date of the transaction. </t>
  </si>
  <si>
    <t xml:space="preserve">Where the Trust has assets or liabilities denominated in a foreign currency at the Statement of financial position date: </t>
  </si>
  <si>
    <t xml:space="preserve">Exchange gains or losses on monetary items (arising on settlement of the transaction or on re-translation at the Statement of Financial Position date) are recognised in income or expense in the period in which they arise. </t>
  </si>
  <si>
    <t>Exchange gains or losses on non-monetary assets and liabilities are recognised in the same manner as other gains and losses on these items.</t>
  </si>
  <si>
    <t xml:space="preserve">Third party assets </t>
  </si>
  <si>
    <t>Critical judgements in applying accounting policies</t>
  </si>
  <si>
    <t xml:space="preserve">Key sources of estimation uncertainty </t>
  </si>
  <si>
    <t>The following information segments the results of the NHS Foundation Trust by:</t>
  </si>
  <si>
    <t>Income from activities</t>
  </si>
  <si>
    <t>Other operating income</t>
  </si>
  <si>
    <t>Private patient income</t>
  </si>
  <si>
    <t>All income from activities arises from mandatory services.</t>
  </si>
  <si>
    <t>Pharmacy sales</t>
  </si>
  <si>
    <t>Education and training</t>
  </si>
  <si>
    <t>Non-patient care services to other bodies</t>
  </si>
  <si>
    <t>Other income</t>
  </si>
  <si>
    <t>Research and development</t>
  </si>
  <si>
    <t>Charitable and other contributions to expenditure</t>
  </si>
  <si>
    <t>Services from Foundation Trusts</t>
  </si>
  <si>
    <t>Services from NHS Trusts</t>
  </si>
  <si>
    <t>Purchase of healthcare from non NHS bodies</t>
  </si>
  <si>
    <t>Supplies and services - general</t>
  </si>
  <si>
    <t>Establishment</t>
  </si>
  <si>
    <t>Transport</t>
  </si>
  <si>
    <t>Premises</t>
  </si>
  <si>
    <t>Depreciation of property plant and equipment</t>
  </si>
  <si>
    <t>Amortisation on intangible assets</t>
  </si>
  <si>
    <t>Audit services - statutory audit</t>
  </si>
  <si>
    <t>Clinical negligence</t>
  </si>
  <si>
    <t>Legal fees</t>
  </si>
  <si>
    <t>Training, courses and conferences</t>
  </si>
  <si>
    <t>Other</t>
  </si>
  <si>
    <t>Memorandum note - operating lease costs are included within operating expenses</t>
  </si>
  <si>
    <t>Minimum lease payments</t>
  </si>
  <si>
    <t>Contingent rents</t>
  </si>
  <si>
    <t>Sub-lease payments</t>
  </si>
  <si>
    <t>Total future minimum operating lease payments</t>
  </si>
  <si>
    <t>Land &amp; Buildings</t>
  </si>
  <si>
    <t>Other Leases</t>
  </si>
  <si>
    <t>Payable:</t>
  </si>
  <si>
    <t>Not later than one year</t>
  </si>
  <si>
    <t>Between one and five years</t>
  </si>
  <si>
    <t>After 5 years</t>
  </si>
  <si>
    <t>Total future sublease payments expected to be received: £Nil</t>
  </si>
  <si>
    <t>(excluding non-executive directors)</t>
  </si>
  <si>
    <t>Permanently Employed</t>
  </si>
  <si>
    <t>Salaries and wages</t>
  </si>
  <si>
    <t>Social Security costs</t>
  </si>
  <si>
    <t>Other pension costs</t>
  </si>
  <si>
    <t>Termination benefits</t>
  </si>
  <si>
    <t>Bank and Agency Staff</t>
  </si>
  <si>
    <t>Staff numbers</t>
  </si>
  <si>
    <t>WTE</t>
  </si>
  <si>
    <t>Medical and dental</t>
  </si>
  <si>
    <t>Administration and estates</t>
  </si>
  <si>
    <t>Healthcare assistants and other support staff</t>
  </si>
  <si>
    <t>Nursing, midwifery and health visiting staff</t>
  </si>
  <si>
    <t>Scientific, therapeutic and technical staff</t>
  </si>
  <si>
    <t>WTE - Whole Time Equivalent.  WTE shown is an average throughout the year</t>
  </si>
  <si>
    <t>Executive and non executive directors salaries</t>
  </si>
  <si>
    <t>Audit services - audit-related regulatory reporting</t>
  </si>
  <si>
    <t>Limitation on auditor's liability</t>
  </si>
  <si>
    <t>Number</t>
  </si>
  <si>
    <t>Total Non-NHS trade invoices paid in the year</t>
  </si>
  <si>
    <t>Total Non NHS trade invoices paid within target*</t>
  </si>
  <si>
    <t>Percentage of Non-NHS trade invoices paid within target</t>
  </si>
  <si>
    <t>Total NHS trade invoices paid in the year</t>
  </si>
  <si>
    <t>Total NHS trade invoices paid within target*</t>
  </si>
  <si>
    <t>Percentage of NHS trade invoices paid within target</t>
  </si>
  <si>
    <t>The Late Payment of Commercial Debts (Interest) Act 1998</t>
  </si>
  <si>
    <t>Amounts included within Finance Costs (Note 17) arising from claims made under this legislation</t>
  </si>
  <si>
    <t>Compensation paid to cover debt recovery costs under this legislation</t>
  </si>
  <si>
    <t>Measure of Compliance:</t>
  </si>
  <si>
    <t>Interest on loans</t>
  </si>
  <si>
    <t>Financing obligations under PFI contracts:</t>
  </si>
  <si>
    <t xml:space="preserve">£000 </t>
  </si>
  <si>
    <t xml:space="preserve">Indexation </t>
  </si>
  <si>
    <t xml:space="preserve">Impairments </t>
  </si>
  <si>
    <t>Reclassifications</t>
  </si>
  <si>
    <t xml:space="preserve">Revaluation </t>
  </si>
  <si>
    <t xml:space="preserve">Additions purchased </t>
  </si>
  <si>
    <t xml:space="preserve">Additions government granted </t>
  </si>
  <si>
    <t>Reversal of impairments</t>
  </si>
  <si>
    <t xml:space="preserve">Charged during the year </t>
  </si>
  <si>
    <t>Net book value</t>
  </si>
  <si>
    <t>Revaluation reserve balance for intangible assets</t>
  </si>
  <si>
    <t>Changes</t>
  </si>
  <si>
    <t>Drugs</t>
  </si>
  <si>
    <t>Consumables</t>
  </si>
  <si>
    <t>Energy</t>
  </si>
  <si>
    <t>Work in progress</t>
  </si>
  <si>
    <t xml:space="preserve">Other </t>
  </si>
  <si>
    <t>Inventories recognised in expenses</t>
  </si>
  <si>
    <t>Inventories recognised as an expense in the period</t>
  </si>
  <si>
    <t>Write-down of inventories (including losses)</t>
  </si>
  <si>
    <t>Reversal of write-downs that reduced the expense</t>
  </si>
  <si>
    <t>Property, Plant and Equipment</t>
  </si>
  <si>
    <t>Land</t>
  </si>
  <si>
    <t>Buildings excluding dwellings</t>
  </si>
  <si>
    <t>Dwellings</t>
  </si>
  <si>
    <t>Assets under construction and payments on account</t>
  </si>
  <si>
    <t>Plant and machinery</t>
  </si>
  <si>
    <t>Transport equipment</t>
  </si>
  <si>
    <t>Information technology</t>
  </si>
  <si>
    <t>Furniture and fittings</t>
  </si>
  <si>
    <t xml:space="preserve">Additions donated </t>
  </si>
  <si>
    <t>Reclassified as held for sale</t>
  </si>
  <si>
    <t>Disposals other than by sale</t>
  </si>
  <si>
    <t>Net Book Value</t>
  </si>
  <si>
    <t>Plant and equipment is valued using depreciated replacement cost.</t>
  </si>
  <si>
    <t>Profit on disposal of land and buildings</t>
  </si>
  <si>
    <t>(Loss) on disposal of land and buildings</t>
  </si>
  <si>
    <t>Profits on disposal of plant and equipment</t>
  </si>
  <si>
    <t>(Loss) on disposal of plant and equipment</t>
  </si>
  <si>
    <t>Current</t>
  </si>
  <si>
    <t>Non-current</t>
  </si>
  <si>
    <t>NHS receivables</t>
  </si>
  <si>
    <t>VAT</t>
  </si>
  <si>
    <t>Accrued income</t>
  </si>
  <si>
    <t>PDC dividend receivable</t>
  </si>
  <si>
    <t>Provision for the impairment of receivables</t>
  </si>
  <si>
    <t>Prepayments other</t>
  </si>
  <si>
    <t>Receivables past their due date but not impaired</t>
  </si>
  <si>
    <t>By up to three months</t>
  </si>
  <si>
    <t>By three to six months</t>
  </si>
  <si>
    <t>By more than six months</t>
  </si>
  <si>
    <t>Ageing of impaired receivables</t>
  </si>
  <si>
    <t>Provision for impairment of receivables</t>
  </si>
  <si>
    <t>Increase/(decrease) in receivables impaired</t>
  </si>
  <si>
    <t xml:space="preserve">Total </t>
  </si>
  <si>
    <t>Plus assets classified as available for sale in the year</t>
  </si>
  <si>
    <t>Less assets sold in year</t>
  </si>
  <si>
    <t>Less Impairment of assets held for sale</t>
  </si>
  <si>
    <t>Plus Reversal of impairment of assets held for sale</t>
  </si>
  <si>
    <t>Less assets no longer classified as held for sale, for reasons other than disposal by sale</t>
  </si>
  <si>
    <t>There was no gain or loss recognised for these non current assets on classification of held for sale</t>
  </si>
  <si>
    <t>Other property, plant and equipment</t>
  </si>
  <si>
    <t>Other assets</t>
  </si>
  <si>
    <t>Plus assets classified as held for sale in the year</t>
  </si>
  <si>
    <t>Less assets sold in the year</t>
  </si>
  <si>
    <t>Less impairment of assets held for sale</t>
  </si>
  <si>
    <t>Plus reversal of impairment of assets held for sale</t>
  </si>
  <si>
    <t>Buildings excluding dwelling</t>
  </si>
  <si>
    <t>Trade Payables</t>
  </si>
  <si>
    <t>Other trade payables - revenue</t>
  </si>
  <si>
    <t>Other trade payables - capital</t>
  </si>
  <si>
    <t>Tax and social security costs</t>
  </si>
  <si>
    <t>Loans from:</t>
  </si>
  <si>
    <t>PFI liabilities:</t>
  </si>
  <si>
    <t>Department of Health</t>
  </si>
  <si>
    <t>Other entities</t>
  </si>
  <si>
    <t>Main liability</t>
  </si>
  <si>
    <t>Lifecycle replacement received in advance</t>
  </si>
  <si>
    <t>Pensions relating to former directors</t>
  </si>
  <si>
    <t>Pensions relating to other staff</t>
  </si>
  <si>
    <t>Legal claims</t>
  </si>
  <si>
    <t>Agenda for Change</t>
  </si>
  <si>
    <t>Arising during the year</t>
  </si>
  <si>
    <t>Used during the year</t>
  </si>
  <si>
    <t>Reversed unused</t>
  </si>
  <si>
    <t>Unwinding of discount</t>
  </si>
  <si>
    <t>Expected timing of cash flows:</t>
  </si>
  <si>
    <t>no later than one year</t>
  </si>
  <si>
    <t>later than one year and no later than five years</t>
  </si>
  <si>
    <t>later than five years</t>
  </si>
  <si>
    <t>Lease incentives</t>
  </si>
  <si>
    <t>PFI asset – deferred credit</t>
  </si>
  <si>
    <t>Revaluation gains/(losses) and impairment losses on intangible assets</t>
  </si>
  <si>
    <t>Revaluation gains/(losses) and impairment losses property, plant and equipment</t>
  </si>
  <si>
    <t>Revaluation gains/(losses) and impairment losses arising from classifying non current assets as Assets Held for Sale</t>
  </si>
  <si>
    <t>Fair Value gains/(losses) on Available-for-sale financial investments</t>
  </si>
  <si>
    <t>Recycling gains/(losses) on Available-for-sale financial investments</t>
  </si>
  <si>
    <t>Transfers to the income and expenditure account in respect of assets disposed of</t>
  </si>
  <si>
    <t>Transfer of the excess of current cost depreciation over historical cost depreciation to the Income and Expenditure Reserve</t>
  </si>
  <si>
    <t>Other transfers between reserves</t>
  </si>
  <si>
    <t>Cash and Cash Equivalents</t>
  </si>
  <si>
    <t>Net change in year</t>
  </si>
  <si>
    <t>Cash with Government Banking Service</t>
  </si>
  <si>
    <t>Commercial banks and cash in hand</t>
  </si>
  <si>
    <t>Consists of:</t>
  </si>
  <si>
    <t>Equal Pay cases</t>
  </si>
  <si>
    <t>Contingent Assets</t>
  </si>
  <si>
    <t>Related Party Transactions</t>
  </si>
  <si>
    <t>Oxfordshire PCT</t>
  </si>
  <si>
    <t>Buckinghamshire PCT</t>
  </si>
  <si>
    <t>Hampshire PCT</t>
  </si>
  <si>
    <t>Milton Keynes PCT</t>
  </si>
  <si>
    <t>Royal Berkshire NHS Foundation Trust</t>
  </si>
  <si>
    <t>Frimley Park Hospital NHS Foundation Trust</t>
  </si>
  <si>
    <t>Cedric Scroggs, who is a Non Executive Director of the Trust, is a shareholder of sundry pharmaceutical companies with which the Trust may have business.</t>
  </si>
  <si>
    <t>Roger Reed, who is a Non Executive Director of the Trust, is a Buckinghamshire County Councillor.</t>
  </si>
  <si>
    <t>Opening Relevant Net Assets</t>
  </si>
  <si>
    <t>Closing Relevant Net Assets</t>
  </si>
  <si>
    <t>Average Relevant Net Assets</t>
  </si>
  <si>
    <t>Rate of Dividend (%)</t>
  </si>
  <si>
    <t xml:space="preserve">The NHS Foundation Trust is required to comply and remain within a Prudential Borrowing Limit. This is made up of 2 elements :  </t>
  </si>
  <si>
    <t>Further information on the Prudential Borrowing Code and the Compliance Framework for NHS Foundation Trust’s can be found on the website of (or on request from) Monitor, the independent regulator of foundation trusts.</t>
  </si>
  <si>
    <t>Performance against the Prudential Borrowing Limit (PBL) ratios is shown below:</t>
  </si>
  <si>
    <t>Approved PBL limits (to be read as the Trust must not exceed     ‘&lt;’ or go below ‘ &gt;’ the stated value)</t>
  </si>
  <si>
    <t>Minimum dividend cover</t>
  </si>
  <si>
    <t>&gt;1</t>
  </si>
  <si>
    <t>Minimum interest cover</t>
  </si>
  <si>
    <t>&gt;3</t>
  </si>
  <si>
    <t>Minimum debt service cover</t>
  </si>
  <si>
    <t>&gt;2</t>
  </si>
  <si>
    <t>Maximum debt service to revenue</t>
  </si>
  <si>
    <t>Available for sale</t>
  </si>
  <si>
    <t>Receivables</t>
  </si>
  <si>
    <t>Cash at bank and in hand</t>
  </si>
  <si>
    <t>Other financial assets</t>
  </si>
  <si>
    <t>Payables</t>
  </si>
  <si>
    <t>PFI and finance lease obligations</t>
  </si>
  <si>
    <t>Other borrowings</t>
  </si>
  <si>
    <t>All financial assets and liabilities are held at fair value.</t>
  </si>
  <si>
    <t>Receivables: amounts falling due within one year</t>
  </si>
  <si>
    <t>Receivables: amounts falling due after more than one year</t>
  </si>
  <si>
    <t>Payables: amounts falling due within one year</t>
  </si>
  <si>
    <t>Payables: amounts falling due after more than one year</t>
  </si>
  <si>
    <t>Balances with other Central Government Bodies</t>
  </si>
  <si>
    <t>Balances with Local Authorities</t>
  </si>
  <si>
    <t>Balances with Public Corporations and Trading Funds</t>
  </si>
  <si>
    <t>Balances with bodies external to government</t>
  </si>
  <si>
    <t>Pooled Budgets</t>
  </si>
  <si>
    <t>Oxfordshire County Council Pooled Budgets</t>
  </si>
  <si>
    <t>Plan</t>
  </si>
  <si>
    <t>Actual</t>
  </si>
  <si>
    <t>Oxford Health NHS FT</t>
  </si>
  <si>
    <t>OCC</t>
  </si>
  <si>
    <t>Total Delegated Budget</t>
  </si>
  <si>
    <t>OCC contribution to Trust overheads</t>
  </si>
  <si>
    <t>Total Pooled Budget</t>
  </si>
  <si>
    <t>Analysis of Income and Expenditure within the Pooled Budget</t>
  </si>
  <si>
    <t>Trust Contribution</t>
  </si>
  <si>
    <t>OCC Contribution</t>
  </si>
  <si>
    <t>Pay Expenditure</t>
  </si>
  <si>
    <t>Non-Pay Expenditure</t>
  </si>
  <si>
    <t>Contribution to Overheads</t>
  </si>
  <si>
    <t>Community Health Facilities (Oxford) Limited have designed, built, financed, maintained and operated the new facility. They are a special purpose company established through three main sponsors:</t>
  </si>
  <si>
    <t>The Miller Group Limited</t>
  </si>
  <si>
    <t>Interserve (Facilities Management) Ltd (formerly Building and Property Group Limited)</t>
  </si>
  <si>
    <t>British Linen Investments Limited</t>
  </si>
  <si>
    <t>Later than one year, not later than five years</t>
  </si>
  <si>
    <t>Later than five years</t>
  </si>
  <si>
    <t>Less: interest element</t>
  </si>
  <si>
    <t>PFI scheme expiry date:</t>
  </si>
  <si>
    <t>Description of the scheme</t>
  </si>
  <si>
    <t>Contract Start Date:</t>
  </si>
  <si>
    <t>Contract End Date:</t>
  </si>
  <si>
    <t>05 September 2049*</t>
  </si>
  <si>
    <t>Subtotal</t>
  </si>
  <si>
    <t>Contractual Capital Commitments</t>
  </si>
  <si>
    <t>Events After the Reporting Period</t>
  </si>
  <si>
    <t>Contingent Assets and Liabilities</t>
  </si>
  <si>
    <t>Contingent Liabilities</t>
  </si>
  <si>
    <t>4,5,6</t>
  </si>
  <si>
    <t>Total Current Assets</t>
  </si>
  <si>
    <t>Total Non-Current Assets</t>
  </si>
  <si>
    <t>Operating Segments</t>
  </si>
  <si>
    <t>Pension Costs</t>
  </si>
  <si>
    <t>Buckinghamshire County Council Pension Scheme</t>
  </si>
  <si>
    <t>Retirements due to Ill-health</t>
  </si>
  <si>
    <t>Buckinghamshire County Council Pooled Budgets</t>
  </si>
  <si>
    <t>BCC Contribution</t>
  </si>
  <si>
    <t>BCC</t>
  </si>
  <si>
    <t>BCC contribution to Trust overheads</t>
  </si>
  <si>
    <t>These accounts have been prepared under the historical cost convention modified to account for the revaluation of property, plant and equipment, intangible assets, inventories and certain financial assets and financial liabilities.</t>
  </si>
  <si>
    <t>Revaluation gains and losses</t>
  </si>
  <si>
    <t>Revaluation gains are recognised in the revaluation reserve, except where, and to the extent that, they reverse a revaluation decrease that has previously been recognised in operating expenses, in which case they are recognised in operating income.</t>
  </si>
  <si>
    <t>Revaluation losses are charged to the revaluation reserve to the extent that there is an available balance for the asset concerned, and thereafter are charged to operating expenses.</t>
  </si>
  <si>
    <t>Other impairments are treated as revaluation losses. Reversals of ‘other impairments’ are treated as revaluation gains.</t>
  </si>
  <si>
    <t>Subsequently intangible assets are measured at fair value. Revaluations gains and losses and impairments are treated in the same manner as for Property, Plant and Equipment.</t>
  </si>
  <si>
    <t>Where substantially all risks and rewards of ownership of a leased asset are borne by the NHS foundation trust, the asset is recorded as property, plant and equipment and a corresponding liability is recorded. The value at which both are recognised is the lower of the fair value of the asset or the present value of the minimum lease payments, discounted using the interest rate implicit in the lease.</t>
  </si>
  <si>
    <t>The asset and liability are recognised at the commencement of the lease. Thereafter the asset is accounted for an item of property plant and equipment.</t>
  </si>
  <si>
    <t>The annual rental is split between the repayment of the liability and a finance cost so as to achieve a constant rate of finance over the life of the lease. The annual finance cost is charged to Finance Costs in the Statement of Comprehensive Income. The lease liability, is de-recognised when the liability is discharged, cancelled or expires.</t>
  </si>
  <si>
    <t>Losses and special payments</t>
  </si>
  <si>
    <t>Losses and special payments are items that Parliament would not have contemplated when it agreed funds for the health service or passed legislation. By their nature they are items that ideally should not arise. They are therefore subject to special control procedures compared with the generality of payments. They are divided into different categories, which govern the way that individual cases are handled. Losses and special payments are charged to the relevant functional headings in expenditure on an accruals basis, including losses which would have been made good through insurance cover had NHS trusts not been bearing their own risks (with insurance premiums then being included as normal revenue expenditure).</t>
  </si>
  <si>
    <t>However the losses and special payments note is compiled directly from the losses and compensations register which reports on an accrual basis with the exception of provisions for future losses.</t>
  </si>
  <si>
    <t>In line with the HM Treasury, the Trust has chosen to adopt the amendment to IFRS 8. Consequently, the Trust does not need to disclose the total assets attributable to each operating segment as this information is not regularly provided to the Board.</t>
  </si>
  <si>
    <t>Currency risk</t>
  </si>
  <si>
    <t>Interest rate risk</t>
  </si>
  <si>
    <t>Credit risk</t>
  </si>
  <si>
    <t xml:space="preserve">Because the majority of the Trust’s income comes from contracts with other public sector bodies, the Trust has low exposure to credit risk.  </t>
  </si>
  <si>
    <t>Liquidity risk</t>
  </si>
  <si>
    <t>The Trust’s treasury management operations are carried out by the finance department, within parameters defined formally within the Trust’s standing financial instructions and policies agreed by the Board of Directors. Trust treasury activity is subject to review by the Trust’s internal auditors.</t>
  </si>
  <si>
    <t>The Trust is principally a domestic organisation with the great majority of transactions, assets and liabilities being in the UK and sterling based.  The Trust has no overseas operations. The Trust therefore has low exposure to currency rate fluctuations.</t>
  </si>
  <si>
    <t>The Trust borrows from government for capital expenditure, subject to affordability as confirmed by the Prudential Borrowing Code and Regulator review. The borrowings are for 1 – 25 years, in line with the life of the associated assets, and interest is charged at the National Loans Fund rate, fixed for the life of the loan. The Trust therefore has low exposure to interest rate fluctuations.</t>
  </si>
  <si>
    <t>Local Government Superannuation Scheme</t>
  </si>
  <si>
    <t>The financial statements on pages 1 to 4 were approved by the Board and signed on its behalf by:</t>
  </si>
  <si>
    <t>&lt;2.5%</t>
  </si>
  <si>
    <t xml:space="preserve">All property, plant and equipment assets are measured initially at cost, representing the costs directly attributable to acquiring or constructing the asset and bringing it to the location and condition necessary for it to be capable of operating in the manner intended by management. All assets are measured subsequently at fair value. </t>
  </si>
  <si>
    <t>The Trust's activities relate to the provision of goods and services relating to healthcare authorised under Section 14(1) of the HSCA. On this basis the Trust is not liable for corporation tax.</t>
  </si>
  <si>
    <t>£10,000 - £25,000</t>
  </si>
  <si>
    <t>£150,001 - £200,000</t>
  </si>
  <si>
    <t xml:space="preserve">Change in discount </t>
  </si>
  <si>
    <t>FOREWORD TO THE ACCOUNTS</t>
  </si>
  <si>
    <r>
      <t xml:space="preserve">Assets belonging to third parties (such as money held on behalf of patients) are not recognised in the accounts since the NHS foundation trust has no beneficial interest in them. However, they are disclosed in a separate note to the accounts in accordance with the requirements of HM Treasury’s </t>
    </r>
    <r>
      <rPr>
        <i/>
        <sz val="10"/>
        <color indexed="8"/>
        <rFont val="Arial"/>
        <family val="2"/>
      </rPr>
      <t>Financial Reporting Manual</t>
    </r>
    <r>
      <rPr>
        <sz val="10"/>
        <color indexed="8"/>
        <rFont val="Arial"/>
        <family val="2"/>
      </rPr>
      <t>.</t>
    </r>
  </si>
  <si>
    <t>Wiltshire PCT</t>
  </si>
  <si>
    <t>Swindon PCT</t>
  </si>
  <si>
    <t>Cash and cash equivalents at 31 March</t>
  </si>
  <si>
    <t>£25,001 - £50,000</t>
  </si>
  <si>
    <t>£50,001 - £100,000</t>
  </si>
  <si>
    <t>£100,001 - £150,000</t>
  </si>
  <si>
    <t>Inventories are held at the lower of cost and net realisable value.</t>
  </si>
  <si>
    <t>All individual receivables due have been reviewed to reflect fair value.</t>
  </si>
  <si>
    <t>Cash and cash equivalents as in Statement of Financial Position</t>
  </si>
  <si>
    <t>The Trust is committed to the following charges:</t>
  </si>
  <si>
    <t>Note that the Trust Prudential Borrowing Code compliance is monitored by Monitor based upon the Trust's annual plan and quarterly monitoring submissions.  These submissions include pooled budget (Section 75) income and expenditure and as a result the ratios quoted here are based on different I&amp;E figures to the Trust's annual accounts, which exclude Section 75 balances.</t>
  </si>
  <si>
    <t>Past and present employees are covered by the provisions of the NHS Pensions Scheme. The scheme is an unfunded, defined benefit scheme that covers NHS employers, general practices and other bodies, allowed under the direction of Secretary of State, in England and Wales. It is not possible for the NHS foundation trust to identify its share of the underlying scheme liabilities. Therefore, the scheme is accounted for as a defined contribution scheme.</t>
  </si>
  <si>
    <t xml:space="preserve">All financial assets are de-recognised when the rights to receive cash flows from the assets have expired or the Trust has transferred substantially all of the risks and rewards of ownership. </t>
  </si>
  <si>
    <t xml:space="preserve">At the Statement of Financial Position date, the Trust assesses whether any financial assets, other than those held at ‘fair value through income and expenditure’ are impaired. Financial assets are impaired and impairment losses are recognised if, and only if, there is objective evidence of impairment as a result of one or more events which occurred after the initial recognition of the asset and which has an impact on the estimated future cash flows of the asset. </t>
  </si>
  <si>
    <t>STATEMENT OF CASH FLOWS FOR THE YEAR ENDED</t>
  </si>
  <si>
    <t>Amount written off during the year</t>
  </si>
  <si>
    <t>Amount recovered during the year</t>
  </si>
  <si>
    <t xml:space="preserve"> - main finance cost *</t>
  </si>
  <si>
    <t xml:space="preserve"> - contingent finance cost**</t>
  </si>
  <si>
    <t xml:space="preserve">** The additional amount payable on the liability due to uncertain factors (i.e. inflation) is treated as a 'contingent finance cost'. IAS17 requires this to be reported separately from the main lease finance cost. </t>
  </si>
  <si>
    <t>Total obligations for on-'Statement of Financial Position' PFI contracts due**:</t>
  </si>
  <si>
    <t xml:space="preserve">The majority of receivables relate to agreed debt owing from other NHS bodies. Non NHS receivables have been impaired in accordance with Trust policy. </t>
  </si>
  <si>
    <t>** This is the value of the capital liability and future interest liability.</t>
  </si>
  <si>
    <t xml:space="preserve">* Contract break possible after 25 years, at 05 September 2024. In 2024, the Trust has legal ownership of the asset. </t>
  </si>
  <si>
    <t xml:space="preserve">Land </t>
  </si>
  <si>
    <t xml:space="preserve">Dwellings </t>
  </si>
  <si>
    <t xml:space="preserve">Assets under construction and payments on account </t>
  </si>
  <si>
    <t xml:space="preserve">Plant and machinery </t>
  </si>
  <si>
    <t xml:space="preserve">Transport equipment </t>
  </si>
  <si>
    <t xml:space="preserve">Information technology </t>
  </si>
  <si>
    <t xml:space="preserve">Furniture &amp; fittings </t>
  </si>
  <si>
    <t xml:space="preserve">Net book value </t>
  </si>
  <si>
    <t>2011/12</t>
  </si>
  <si>
    <t>1 April 2011</t>
  </si>
  <si>
    <t>Where a large asset, for example a building, includes a number of components with significantly different asset lives e.g. plant and equipment, then these components are treated as separate assets and depreciated over their own useful economic lives.</t>
  </si>
  <si>
    <t>Subsequent expenditure relating to an item of property, plant and equipment is recognised as an increase in the carrying amount of the asset when it is probable that additional future economic benefits or service potential deriving from the cost incurred to replace a component of such item will flow to the enterprise and the cost of the item can be determined reliably.
Where a component of an asset is replaced, the cost of the replacement is capitalised if it meets the criteria for recognition above. The carrying amount of the part replaced is de-recognised. Other expenditure that does not generate additional future economic benefits or service potential, such as repairs and maintenance, is charged to the Statement of Comprehensive Income in the period in which it is incurred.</t>
  </si>
  <si>
    <t>Property, Plant and Equipment which has been reclassified as ‘Held for Sale’ ceases to be depreciated upon the reclassification. Assets in the course of construction are not depreciated until the asset is brought into use.</t>
  </si>
  <si>
    <t xml:space="preserve">The Treasury has decided that the NHS should value its property assets in line with the Royal Institution of Chartered Surveyors (RICS) Red Book standards. This means that specialised property, for which market value cannot be readily determined, should be valued at depreciated replacement cost (DRC) on a modern equivalent asset (MEA) basis. </t>
  </si>
  <si>
    <t>In accordance with the FT ARM, impairments that are due to a loss of economic benefits or service potential in the asset are charged to operating expenses. A compensating transfer is made from the revaluation reserve to the income and expenditure reserve of an amount equal to the lower of (i) the impairment charged to operating expenses; and (ii) the balance in the revaluation reserve attributable to that asset before the impairment.</t>
  </si>
  <si>
    <t>Assets intended for disposal are reclassified as ‘Held for Sale’ once all of the following criteria are met:</t>
  </si>
  <si>
    <t>Donated, government grant and other grant funded assets</t>
  </si>
  <si>
    <t>The annual contract payments are apportioned between the repayment of the liability, a finance cost and the charges for services.
The service charge is recognised in operating expenses and the finance cost is charged to Finance Costs in the Statement of Comprehensive Income. Lifecycle replacement costs are capitalised in line with the operator capital spend.</t>
  </si>
  <si>
    <t>Expenditure on development is capitalised only where all of the following can be demonstrated: 
   • the project is technically feasible to the point of completion and will result in an intangible asset for
      sale or use;
   • the Trust intends to complete the asset and sell or use it;
   • the Trust has the ability to sell or use the asset;
   • how the intangible asset will generate probable future economic or service delivery benefits e.g. the 
     presence of a market for it or its output, or where it is to be used for internal use, the usefulness of the
     asset;
   • adequate financial, technical and other resources are available to the Trust to complete the 
     development and sell or use the asset; and
   • the Trust can measure reliably the expenses attributable to the asset during development.</t>
  </si>
  <si>
    <t>Government grants are grants from Government bodies other than income from primary care trusts or NHS trusts for the provision of services.  Where a grant is used to fund revenue expenditure it is taken to the Statement of Comprehensive Income to match that expenditure.</t>
  </si>
  <si>
    <t xml:space="preserve">Financial assets are categorised as fair value through income &amp; expenditure, loans &amp; receivables. </t>
  </si>
  <si>
    <t xml:space="preserve">
Financial liabilities are categorised as fair value through income &amp; expenditure or as 'other financial liabilities'.</t>
  </si>
  <si>
    <t xml:space="preserve">  • non-monetary assets and liabilities measured at historical cost are translated using the spot exchange rate at the date of the transaction; and</t>
  </si>
  <si>
    <t xml:space="preserve">  • non-monetary assets and liabilities measured at fair value are translated using the spot exchange rate at the date the fair value was determined. </t>
  </si>
  <si>
    <t xml:space="preserve">    •  possible obligations arising from past events whose existence will be confirmed only by the
       occurrence of one or more uncertain future events not wholly within the entity’s control; or </t>
  </si>
  <si>
    <t xml:space="preserve">    •  present obligations arising from past events but for which it is not probable that a transfer of
       economic benefits will arise or for which the amount of the obligation cannot be measured with
       sufficient reliability. </t>
  </si>
  <si>
    <t xml:space="preserve">Following reclassification, the assets are measured at the lower of their existing carrying amount and their ‘fair value less costs to sell’. Depreciation ceases to be charged and the assets are not revalued, except where the ‘fair value less costs to sell’ falls below the carrying amount. Assets are de-recognised when all material sale contract conditions have been met. </t>
  </si>
  <si>
    <t xml:space="preserve">Operational equipment is valued at depreciated replacement cost. Equipment surplus to requirements is valued at net recoverable amount. </t>
  </si>
  <si>
    <t>Oxford Pharmacy Store</t>
  </si>
  <si>
    <t>Interest on financial liabilities carried at amortised cost is calculated using the effective interest method and charged to Finance Costs. Interest on financial liabilities taken out to finance property, plant and equipment or intangible assets is not capitalised as part of the cost of those assets.</t>
  </si>
  <si>
    <t xml:space="preserve">They are included in current liabilities except for amounts payable more than 12 months after the Statement of financial position date, which are classified as long-term liabilities. </t>
  </si>
  <si>
    <t>The following are the critical judgements, apart from those involving estimations (see below) that management has made in the process of applying the Trust’s accounting policies and that have the most significant effect on the amounts recognised in the financial statements:</t>
  </si>
  <si>
    <t xml:space="preserve">Signed: </t>
  </si>
  <si>
    <t>STATEMENT OF CHANGES IN TAXPAYERS' EQUITY 2011/12</t>
  </si>
  <si>
    <t>Interest accrued not paid</t>
  </si>
  <si>
    <t>Employers' contribution to executive directors' pensions*</t>
  </si>
  <si>
    <t xml:space="preserve">Past and present employees are covered by the provisions of the NHS Pensions Scheme.  Details of the benefits payable under these provisions can be found on the NHS Pensions website at www.nhsbsa.nhs.uk/pensions.  The scheme is an unfunded, defined benefit scheme that covers NHS employers, GP practices and other bodies, allowed under the direction of the Secretary of State, in England and Wales. The scheme is not designed to be run in a way that would enable NHS bodies to identify their share of the underlying scheme assets and liabilities. Therefore, the scheme is accounted for as if it were a defined contribution scheme: the cost to the NHS Body of participating in the scheme is taken as equal to the contributions payable to the scheme for the accounting period.  </t>
  </si>
  <si>
    <t xml:space="preserve">c) Scheme provisions </t>
  </si>
  <si>
    <t>The NHS Pension Scheme provided defined benefits, which are summarised below. This list is an illustrative guide only, and is not intended to detail all the benefits provided by the Scheme or the specific conditions that must be met before these benefits can be obtained:</t>
  </si>
  <si>
    <t>The Scheme is a “final salary” scheme. Annual pensions are normally based on 1/80th for the 1995 section and of the best of the last three years pensionable pay for each year of service, and 1/60th for the 2008 section of reckonable pay per year of membership. Members who are practitioners as defined by the Scheme Regulations have their annual pensions based upon total pensionable earnings over the relevant pensionable service.</t>
  </si>
  <si>
    <t>With effect from 1 April 2008 members can choose to give up some of their annual pension for an additional tax free lump sum, up to a maximum amount permitted under HMRC rules. This new provision is known as “pension commutation”.</t>
  </si>
  <si>
    <t>Members can purchase additional service in the NHS Scheme and contribute to money purchase AVC’s run by the Scheme’s approved providers or by other Free Standing Additional Voluntary Contributions (FSAVC) providers.</t>
  </si>
  <si>
    <t>Other Payables</t>
  </si>
  <si>
    <t>NHS payables - revenue</t>
  </si>
  <si>
    <t>Related Parties payables - revenue</t>
  </si>
  <si>
    <t>The scheme provides a centre in Oxford for the secure care of 30 clients with mental health problems and 10 clients with learning disabilities. Many of the clients are offenders who have been referred for treatment through the Courts. The scheme also provides a staff accommodation block.</t>
  </si>
  <si>
    <t>Last year beginning</t>
  </si>
  <si>
    <t>An impairment arising from a loss of economic benefit or service potential is reversed when, and to the extent that, the circumstances that gave rise to the loss is reversed. Reversals are recognised in operating income to the extent that the asset is restored to the carrying amount it would have had if the impairment had never been recognised. Any remaining reversal is recognised in the revaluation reserve. Where, at the time of the original impairment, a transfer was made from the revaluation reserve to the income and expenditure reserve, an amount is transferred back to the revaluation reserve when the impairment reversal is recognised.</t>
  </si>
  <si>
    <t>Property, Plant and Equipment 2011/12</t>
  </si>
  <si>
    <t>At fair value through Income and Expenditure</t>
  </si>
  <si>
    <t xml:space="preserve">These amounts are reported on an accruals basis, excluding provisions for future losses. </t>
  </si>
  <si>
    <t>Other receivables with related parties</t>
  </si>
  <si>
    <t>Other receivables</t>
  </si>
  <si>
    <t>Financial expense - unwinding of discount on provisions</t>
  </si>
  <si>
    <t xml:space="preserve">Dividends accrued and not paid or received </t>
  </si>
  <si>
    <t>Other WGA bodies</t>
  </si>
  <si>
    <t>Private patients</t>
  </si>
  <si>
    <t>Social care staff</t>
  </si>
  <si>
    <t>&lt; £10,000</t>
  </si>
  <si>
    <t>Change in discount rate on provisions</t>
  </si>
  <si>
    <t>Unwinding of discount on provisions</t>
  </si>
  <si>
    <t>Net finance income on Local Government Pension Scheme</t>
  </si>
  <si>
    <t>Interest receivable</t>
  </si>
  <si>
    <t>NHS payables - capital</t>
  </si>
  <si>
    <t>The current service cost during the year is recognised within operating expenses. The net of the expected gain during the year from scheme assets and the interest cost during the year arising from the unwinding of the discount on the scheme liabilities is recognised within finance income/costs. Actuarial gains and losses during the year are recognised in the income and expenditure reserve and reported in the Statement of Comprehensive Income as an item of ‘other comprehensive income’.</t>
  </si>
  <si>
    <t xml:space="preserve">     Block contract income</t>
  </si>
  <si>
    <t xml:space="preserve">     Cost and volume contract income</t>
  </si>
  <si>
    <t xml:space="preserve">     Other clinical income from mandatory services</t>
  </si>
  <si>
    <t>Reversal of impairments of property, plant and equipment</t>
  </si>
  <si>
    <t>Capitalised employee costs</t>
  </si>
  <si>
    <t>Bank and agency staff</t>
  </si>
  <si>
    <t>The County Council retains the assets and liabilities relating to this scheme.</t>
  </si>
  <si>
    <t>The Trust's obligations in respect of pensions liabilities for these staff transferring is with effect from 1 April 2009 and not the period of employment before this date.</t>
  </si>
  <si>
    <t xml:space="preserve">The Trust commissioned Barnett Waddingham to prepare an actuarial report to provide full pension details in accordance with Financial Reporting Standard 17 (FRS17) . The report is available on request. </t>
  </si>
  <si>
    <t>The assets of the Scheme are measured at fair value and the liabilities at the present value of the future obligations.  The increase in the liability arising from pensionable service earned during the year is recognised within operating expenses.  The expected gain during the year from scheme assets and the interest cost during the year arising from the unwinding of the discount on the scheme liabilities is recognised within finance costs.  Actuarial gains and losses during the year are recognised in the Income and Expenditure reserve and reported as an item of other comprehensive income.</t>
  </si>
  <si>
    <r>
      <t xml:space="preserve">Contingent assets (that is, assets arising from past events whose existence will only be confirmed by one or more future events not wholly within the entity’s control) are not recognised as assets, but are disclosed in note </t>
    </r>
    <r>
      <rPr>
        <sz val="10"/>
        <rFont val="Arial"/>
        <family val="2"/>
      </rPr>
      <t>35</t>
    </r>
    <r>
      <rPr>
        <sz val="10"/>
        <color indexed="8"/>
        <rFont val="Arial"/>
        <family val="2"/>
      </rPr>
      <t xml:space="preserve"> where an inflow of economic benefits is probable.</t>
    </r>
  </si>
  <si>
    <r>
      <t xml:space="preserve">Contingent liabilities are not recognised, but are disclosed in note </t>
    </r>
    <r>
      <rPr>
        <sz val="10"/>
        <rFont val="Arial"/>
        <family val="2"/>
      </rPr>
      <t>35</t>
    </r>
    <r>
      <rPr>
        <sz val="10"/>
        <color indexed="8"/>
        <rFont val="Arial"/>
        <family val="2"/>
      </rPr>
      <t>, unless the probability of a transfer of economic benefits is remote.</t>
    </r>
    <r>
      <rPr>
        <sz val="9.5"/>
        <color indexed="8"/>
        <rFont val="Arial"/>
        <family val="2"/>
      </rPr>
      <t xml:space="preserve"> </t>
    </r>
    <r>
      <rPr>
        <sz val="10"/>
        <color indexed="8"/>
        <rFont val="Arial"/>
        <family val="2"/>
      </rPr>
      <t xml:space="preserve">Contingent liabilities are defined as: </t>
    </r>
  </si>
  <si>
    <t xml:space="preserve">The Trust has also received payments from a number of charitable funds, the Trustees for which are also members of the Oxford Health NHS Foundation Trust Board. </t>
  </si>
  <si>
    <t>The main actuarial assumptions used at the date of the Statement of Financial Position in</t>
  </si>
  <si>
    <t>measuring the present value of the defined benefit scheme liabilities are:</t>
  </si>
  <si>
    <t>RPI Increases</t>
  </si>
  <si>
    <t>CPI Increases</t>
  </si>
  <si>
    <t>Salary Increases</t>
  </si>
  <si>
    <t>Pension Increases</t>
  </si>
  <si>
    <t>Discount rate</t>
  </si>
  <si>
    <t>Expected return on assets (average)</t>
  </si>
  <si>
    <t>Equities</t>
  </si>
  <si>
    <t>Gilts</t>
  </si>
  <si>
    <t>Other bonds</t>
  </si>
  <si>
    <t>Property</t>
  </si>
  <si>
    <t>Cash</t>
  </si>
  <si>
    <t>Alternative Assets</t>
  </si>
  <si>
    <t>The expected return on the plan assets</t>
  </si>
  <si>
    <t>Asset class</t>
  </si>
  <si>
    <t>Expected return at</t>
  </si>
  <si>
    <t>31 March 2012</t>
  </si>
  <si>
    <t>Amounts recognised in the SoCI</t>
  </si>
  <si>
    <t>Current service cost</t>
  </si>
  <si>
    <t>Interest on pension obligations</t>
  </si>
  <si>
    <t>Expected return on plan assets</t>
  </si>
  <si>
    <t>Total pension cost recognised</t>
  </si>
  <si>
    <t xml:space="preserve"> Amounts recognised in the SoFP</t>
  </si>
  <si>
    <t>Oxford Health NHS Foundation Trust liability</t>
  </si>
  <si>
    <t>Present value of funded  obligations</t>
  </si>
  <si>
    <t>Less fair value of scheme assets (bid value)</t>
  </si>
  <si>
    <t>Deficit in the scheme</t>
  </si>
  <si>
    <t>Reconciliation of opening and closing SoFP balances for Oxford Health NHS Foundation Trust</t>
  </si>
  <si>
    <t xml:space="preserve">Deficit in the scheme at 1  April </t>
  </si>
  <si>
    <t>Expenses recognised in the SoCI</t>
  </si>
  <si>
    <t>Contributions paid (Employer)</t>
  </si>
  <si>
    <t>Actuarial  (gains)/losses in the current year</t>
  </si>
  <si>
    <t xml:space="preserve">Deficit in the scheme at 31 March </t>
  </si>
  <si>
    <t>Change in benefit obligation during the year to 31 March</t>
  </si>
  <si>
    <t>Opening defined benefit obligation</t>
  </si>
  <si>
    <t>Past service gain</t>
  </si>
  <si>
    <t>Member contributions</t>
  </si>
  <si>
    <t>Past service cost</t>
  </si>
  <si>
    <t>Actuarial (gains)/losses on obligations</t>
  </si>
  <si>
    <t>Curtailments</t>
  </si>
  <si>
    <t>Settlements</t>
  </si>
  <si>
    <t>Benefits paid</t>
  </si>
  <si>
    <t>Closing benefit obligation</t>
  </si>
  <si>
    <t>Change in fair value of plan assets during the year to 31 March</t>
  </si>
  <si>
    <t>Opening fair value of plan assets</t>
  </si>
  <si>
    <t>Actuarial gains/(losses) on assets</t>
  </si>
  <si>
    <t>Employer contributions</t>
  </si>
  <si>
    <t>Closing fair value of assets</t>
  </si>
  <si>
    <t>Healthcare</t>
  </si>
  <si>
    <r>
      <t>The Trust has no finance leases, either as lessor or lessee, other than the PFI scheme which is identified separately (see note</t>
    </r>
    <r>
      <rPr>
        <sz val="10"/>
        <rFont val="Arial"/>
        <family val="2"/>
      </rPr>
      <t xml:space="preserve"> 32</t>
    </r>
    <r>
      <rPr>
        <sz val="10"/>
        <color theme="1"/>
        <rFont val="Arial"/>
        <family val="2"/>
      </rPr>
      <t>).</t>
    </r>
  </si>
  <si>
    <t>Impairment of assets in the course of construction</t>
  </si>
  <si>
    <t>Adjustment to Contribution</t>
  </si>
  <si>
    <t>South Central Strategic Health Authority</t>
  </si>
  <si>
    <t>Northamptonshire Teaching PCT</t>
  </si>
  <si>
    <t>Buckinghamshire Healthcare NHS Trust</t>
  </si>
  <si>
    <t>Oxford Learning Disability NHS Trust</t>
  </si>
  <si>
    <t>2Gether NHS Foundation Trust</t>
  </si>
  <si>
    <t>Great Western Hospitals NHS Foundation Trust</t>
  </si>
  <si>
    <t>NHS Litigation Authority</t>
  </si>
  <si>
    <t>South Central Ambulance Service NHS Foundation Trust</t>
  </si>
  <si>
    <t>Buckinghamshire County Council</t>
  </si>
  <si>
    <t>Oxfordshire County Council</t>
  </si>
  <si>
    <t>Swindon Borough Council</t>
  </si>
  <si>
    <t xml:space="preserve">Loans and receivables are non-derivative financial assets with fixed or determinable payments which are not quoted in an active market. They are included in current and non current assets. </t>
  </si>
  <si>
    <t>Other comprehensive income - Actuarial  (losses)/gains</t>
  </si>
  <si>
    <t>Finance costs - Expected return on plan assets</t>
  </si>
  <si>
    <t>Finance costs - Interest on pension obligations</t>
  </si>
  <si>
    <t>Operating expenses - Current service cost</t>
  </si>
  <si>
    <t>Pensions relating to other staff and Local Government Pension</t>
  </si>
  <si>
    <t xml:space="preserve">• The Trust's PFI scheme has been assessed as an on Statement of Financial Position PFI under IFRIC 12 because the Trust has judged that it controls the services and the residual interest at the end of the service arrangement.
• The carrying values of property, plant and equipment are reviewed for impairment when there is an indication that the values of the assets might be impaired. 
• The Trust determines whether a substantial transfer of risks and rewards has occurred in relation to leased assets, if this is deemed to be the case the lease is treated as a finance lease, all other leases are classified as operating leases. </t>
  </si>
  <si>
    <t> • Oxford Pharmacy Store - Shortline pharmacy store supplying pharmaceuticals to other NHS Trusts in the United Kingdom.</t>
  </si>
  <si>
    <t>* The Better Payment Practice Code's target is for the Trust to pay 95% of the value of undisputed invoices by the due date or within 30 days of receipt of goods or a valid invoice, whichever is later.</t>
  </si>
  <si>
    <t>Inventories by type</t>
  </si>
  <si>
    <t>Government bodies outside the Department of Health that the Trust has had material transactions with are:</t>
  </si>
  <si>
    <t>(1) The maximum cumulative amount of long term borrowing. This is set by reference to the 4 ratio tests set out in Monitor's Prudential Borrowing Code. The financial risk rating set under Monitor's Compliance Framework determines one of the ratios and therefore can impact on the long term borrowing limit.</t>
  </si>
  <si>
    <t>(2) The amount of any working capital facility approved by Monitor.</t>
  </si>
  <si>
    <t>In the application of the Trust’s accounting policies, management is required to make judgements, estimates and assumptions about the carrying amounts of assets and liabilities that are not readily apparent from other sources.  The estimates and associated assumptions are based on historical experience and other factors that are considered to be relevant.  Actual results may differ from those estimates and the estimates and underlying assumptions are continually reviewed.  Revisions to accounting estimates are recognised in the period in which the estimate is revised, if the revision affects only that period or in the period of the revision and future periods if the revision affects both current and future periods.</t>
  </si>
  <si>
    <t>The Trust’s operating costs are incurred under contracts with primary care trusts, which are financed from resources voted annually by Parliament. The Trust funds its capital expenditure from funds obtained within its prudential borrowing limit. The Trust is not, therefore, exposed to significant liquidity risks.</t>
  </si>
  <si>
    <r>
      <t>Further disclosure of the Buckinghamshire County Council Pension scheme relating to the Trust is shown in note</t>
    </r>
    <r>
      <rPr>
        <sz val="10"/>
        <rFont val="Arial"/>
        <family val="2"/>
      </rPr>
      <t xml:space="preserve"> 43</t>
    </r>
    <r>
      <rPr>
        <sz val="10"/>
        <color theme="1"/>
        <rFont val="Arial"/>
        <family val="2"/>
      </rPr>
      <t>.</t>
    </r>
  </si>
  <si>
    <t xml:space="preserve">  • monetary items (other than financial instruments measured at ‘fair value through income and expenditure’) are translated at the spot exchange rate on 31 March; </t>
  </si>
  <si>
    <t>In order that the defined benefit obligations recognised in the financial statements do not differ materially from those that would be determined at the reporting date by a formal actuarial valuation, the FReM requires that “the period between formal valuations shall be four years, with approximate assessments in intervening years”. An outline of these follows:</t>
  </si>
  <si>
    <t xml:space="preserve">The purpose of this valuation is to assess the level of liability in respect of the benefits due under the scheme (taking into account its recent demographic experience), and to recommend the contribution rates. </t>
  </si>
  <si>
    <t>The latest assessment of the liabilities of the scheme is contained in the scheme actuary report, which forms part of the annual NHS Pension Scheme (England and Wales) Pension Accounts, published annually.  These accounts can be viewed on the NHS Pensions website.  Copies can also be obtained from The Stationery Office.</t>
  </si>
  <si>
    <t>For early retirements other than those due to ill health the additional pension liabilities are not funded by the scheme. The full amount of the liability for the additional costs is charged to the employer.</t>
  </si>
  <si>
    <t>This disclosure reports the number and value of exit packages taken by staff leaving in the year.  Note: The expense associated with these departures may have been recognised in part or in full in a previous period.</t>
  </si>
  <si>
    <t>Employee expenses</t>
  </si>
  <si>
    <t>Oxford Health NHS Foundation Trust is only liable for the deficit in the scheme from the date of transfer of employees from Buckinghamshire County Council in 2009.</t>
  </si>
  <si>
    <t>2012/13</t>
  </si>
  <si>
    <t>1 April 2012</t>
  </si>
  <si>
    <t>Stuart Bell (Chief Executive)</t>
  </si>
  <si>
    <t>Taxpayers' Equity at 1 April 2011</t>
  </si>
  <si>
    <t>Taxpayers' Equity at 31 March 2012</t>
  </si>
  <si>
    <t>STATEMENT OF CHANGES IN TAXPAYERS' EQUITY 2012/13</t>
  </si>
  <si>
    <t xml:space="preserve">Monitor has directed that the financial statements of NHS foundation trusts shall meet the accounting requirements of the Foundation Trust Annual Reporting Manual (FT ARM) which shall be agreed with HM Treasury. Consequently, the following financial statements have been prepared in accordance with the 2012/13 FT ARM issued by Monitor. The accounting policies contained in that manual follow International Financial Reporting Standards (IFRS) and HM Treasury’s Financial Reporting Manual (FReM) to the extent that they are meaningful and appropriate to NHS foundation trusts. The accounting policies have been applied consistently in dealing with items considered material in relation to the accounts. </t>
  </si>
  <si>
    <t>Property, Plant and Equipment 2012/13</t>
  </si>
  <si>
    <t>Cost or valuation at 1 April 2011</t>
  </si>
  <si>
    <t>Cost or Valuation at 31 March 2012</t>
  </si>
  <si>
    <t>Depreciation at 1 April 2011</t>
  </si>
  <si>
    <t>Depreciation at 31 March 2012</t>
  </si>
  <si>
    <t>- Purchased at 31 March 2012</t>
  </si>
  <si>
    <t>- Private finance initiative at 31 March 2012</t>
  </si>
  <si>
    <t>- Donated at 31 March 2012</t>
  </si>
  <si>
    <t>- Total at 31 March 2012</t>
  </si>
  <si>
    <t>- Purchased at 1 April 2011</t>
  </si>
  <si>
    <t>- Private finance initiative at 1 April 2011</t>
  </si>
  <si>
    <t>- Donated at 1 April 2011</t>
  </si>
  <si>
    <t>- Total at 1 April 2011</t>
  </si>
  <si>
    <t>Total as at 1 April 2012</t>
  </si>
  <si>
    <r>
      <t>Assets are capitalised if they are capable of being used for a period which exceeds one year and they:
     • individually have a cost of at lea</t>
    </r>
    <r>
      <rPr>
        <sz val="10"/>
        <rFont val="Arial"/>
        <family val="2"/>
      </rPr>
      <t>st £5,000;</t>
    </r>
    <r>
      <rPr>
        <sz val="10"/>
        <color indexed="8"/>
        <rFont val="Arial"/>
        <family val="2"/>
      </rPr>
      <t xml:space="preserve">  or
     • collectively have a cost of at least </t>
    </r>
    <r>
      <rPr>
        <sz val="10"/>
        <rFont val="Arial"/>
        <family val="2"/>
      </rPr>
      <t>£5,000 and individually have a cost of more than £250, where the 
       assets are functionally interdependent, they had broadly simultaneous purchase dates, are
       anticipated to have simultaneous disposal dates and are under single managerial control;  or
     • form part of the initial equipping and setting-up cost of a new building, ward or unit irrespective of 
       their individual or collective cost.</t>
    </r>
  </si>
  <si>
    <t>The Trust's employees received no material benefits in 2012/13 (none in 2011/12).</t>
  </si>
  <si>
    <t>Oxfordshire Adults of Working Age and Older Adults Pooled Budget Performance 2012/13</t>
  </si>
  <si>
    <t>Buckinghamshire Older Adults Pooled Budget Performance 2012/13</t>
  </si>
  <si>
    <t>Buckinghamshire Adults of Working Age Pooled Budget Performance 2012/13</t>
  </si>
  <si>
    <t>31 March 2013</t>
  </si>
  <si>
    <t>The estimated Fund asset allocation as at 31 March 2013 is as follows:</t>
  </si>
  <si>
    <r>
      <t xml:space="preserve">A charge, reflecting the cost of capital utilised by the NHS foundation trust, is payable as public dividend capital dividend. The charge is calculated at the rate set by HM Treasury </t>
    </r>
    <r>
      <rPr>
        <sz val="10"/>
        <rFont val="Arial"/>
        <family val="2"/>
      </rPr>
      <t>(currently 3.5%)</t>
    </r>
    <r>
      <rPr>
        <sz val="10"/>
        <color indexed="8"/>
        <rFont val="Arial"/>
        <family val="2"/>
      </rPr>
      <t xml:space="preserve"> on the average relevant net assets of the NHS foundation trust during the financial year. Relevant net assets are calculated as the value of all assets less the value of all liabilities, except for (i) donated assets (including lottery funded assets), (ii) net cash balances held with the Government Banking Services (GBS) and (iii) any PDC dividend balance receivable or payable. In accordance with the requirements laid down by the Department of Health (as the issuer of PDC), the dividend for the year is calculated on the actual average relevant net assets as set out in the ‘pre-audit’ version of the annual accounts. The dividend thus calculated is not revised should any adjustment to net assets occur as a result the audit of the annual accounts.</t>
    </r>
  </si>
  <si>
    <t>For functions that have been transferred to the trust from another NHS or local government body, the assets and liabilities transferred are recognised in the accounts as at the date of transfer. The assets and liabilities are not adjusted to fair value prior to recognition. The net gain or loss corresponding to the net assets or liabilities transferred is recognised within income/expenses, but not within operating activities.</t>
  </si>
  <si>
    <t xml:space="preserve">For property plant and equipment assets and intangible assets, the Cost and Accumulated Depreciation or Amortisation balances from the transferring entity’s accounts are preserved on recognition in the trust’s accounts. Where the transferring body recognised revaluation reserve balances attributable to the assets, the trust makes a transfer from its income and expenditure reserve to its revaluation reserve to maintain transparency within public sector accounts. </t>
  </si>
  <si>
    <t>For functions that the trust has transferred to another NHS or local government body, the assets and liabilities transferred are de-recognised from the accounts as at the date of transfer. The net loss or gain corresponding to the net assets or liabilities transferred is recognised within expenses/income, but not within operating activities. Any revaluation reserve balances attributable to assets de-recognised are transferred to the income and expenditure reserve.</t>
  </si>
  <si>
    <r>
      <t xml:space="preserve">The NHS Litigation Authority (NHSLA) operates a risk pooling scheme under which the Trust pays an annual contribution to the NHSLA, which, in return, settles all clinical negligence claims. Although the NHSLA is administratively responsible for all clinical negligence cases, the legal liability remains with the NHS foundation trust. The total value of clinical negligence provisions carried by the NHSLA on behalf of the NHS foundation trust is disclosed at note </t>
    </r>
    <r>
      <rPr>
        <sz val="10"/>
        <rFont val="Arial"/>
        <family val="2"/>
      </rPr>
      <t>28, but is not recognised in the NHS foundation trust's accounts.</t>
    </r>
  </si>
  <si>
    <t>Transfers of functions to or from other NHS and local government bodies</t>
  </si>
  <si>
    <t>Stuart Bell, Chief Executive</t>
  </si>
  <si>
    <t>Signed: ……………………………………………….…</t>
  </si>
  <si>
    <r>
      <t xml:space="preserve">Valuations are carried out by professionally qualified valuers in accordance with the Royal Institute of Chartered Surveyors (RICS) </t>
    </r>
    <r>
      <rPr>
        <i/>
        <sz val="10"/>
        <rFont val="Arial"/>
        <family val="2"/>
      </rPr>
      <t>Appraisal and Valuation Manual</t>
    </r>
    <r>
      <rPr>
        <sz val="10"/>
        <rFont val="Arial"/>
        <family val="2"/>
      </rPr>
      <t xml:space="preserve">.  The last asset valuations were undertaken in 2013 as at the valuation date of 31 March 2013.  </t>
    </r>
  </si>
  <si>
    <t>Services from PCTs</t>
  </si>
  <si>
    <t xml:space="preserve">Employee Expenses - Executive directors </t>
  </si>
  <si>
    <t xml:space="preserve">Employee Expenses - Non-executive directors </t>
  </si>
  <si>
    <t xml:space="preserve">Employee Expenses - Staff </t>
  </si>
  <si>
    <t xml:space="preserve">Supplies and services - clinical (excluding drug costs) </t>
  </si>
  <si>
    <t>Inventories written down (net, including inventory drugs)</t>
  </si>
  <si>
    <t>Drug costs (non inventory drugs only)</t>
  </si>
  <si>
    <t>Inventories consumed (excluding drugs)</t>
  </si>
  <si>
    <t>Drug Inventories consumed</t>
  </si>
  <si>
    <t xml:space="preserve">Impairment of property, plant and equipment </t>
  </si>
  <si>
    <t>Audit fees</t>
  </si>
  <si>
    <t>Consultancy costs</t>
  </si>
  <si>
    <t>Patient travel</t>
  </si>
  <si>
    <t xml:space="preserve">Car parking and security </t>
  </si>
  <si>
    <t xml:space="preserve">Insurance </t>
  </si>
  <si>
    <t>Other services, e.g. External payroll</t>
  </si>
  <si>
    <t xml:space="preserve">Financial reporting standard IFRS 7 requires disclosure of the role that financial instruments have had during the period in creating or changing the risks a body faces in undertaking its activities. Because of the continuing service provider relationship that the NHS Trust has with primary care trusts and the way those primary care trusts are financed, the NHS Trust is not exposed to the degree of financial risk faced by business entities. Also financial instruments play a much more limited role in creating or changing risk than would be typical of listed companies, to which the financial reporting standards mainly apply. The NHS trust has limited powers to borrow or invest surplus funds and financial assets and liabilities are generated by day-to-day operational activities rather than being held to change the risks facing the NHS trust in undertaking activities. </t>
  </si>
  <si>
    <t xml:space="preserve">The statutory limitation on private patient income in section 44 of the 2006 Act was repealed with effect from 1 October 2012 by the Health and Social Care Act 2012. The financial statement disclosures that were provided previously are no longer required. </t>
  </si>
  <si>
    <t xml:space="preserve">     Clinical income for the secondary commissioning of mandatory services</t>
  </si>
  <si>
    <t xml:space="preserve">The NHS foundation trust recognises a provision where it has a present legal or constructive obligation of uncertain timing or amount; for which it is probable that there will be a future outflow of cash or other resources; and a reliable estimate can be made of the amount. The amount recognised in the Statement of Financial Position is the best estimate of the resources required to settle the obligation. Where the effect of the time value of money is significant, the estimated risk-adjusted cash flows are discounted using the discount rates published and mandated by HM Treasury.  </t>
  </si>
  <si>
    <t>In 2009-10 22 members of staff transferred employment from Buckinghamshire County Council.  As at 31 March 2013 15 of these retain active membership of the Buckinghamshire County Council Pension Scheme, which is a defined benefits scheme.</t>
  </si>
  <si>
    <t xml:space="preserve">To mitigate short term liquidity risk the Trust had a Working Capital Facility of £20.0m which was not utilised throughout 2012/13. The Trust has a Working Capital Facility of £15.0m in place from 1st April 2013 which will be reviewed in line with Monitor Risk Framework guidance.  </t>
  </si>
  <si>
    <t>The Trust's accounts reflect the liability attributable from this date within Provisions on the Statement of Financial Position, £435,000 at 31 March 2013 (£422,000 at 31 March 2012).</t>
  </si>
  <si>
    <t>Inventories are valued at the lower of cost and net realisable value. The cost of inventories is measured using the weighted average cost method.</t>
  </si>
  <si>
    <t>All land and buildings were revalued by the District Valuer using Modern Equivalent Asset valuation as at 1 April 2009, revalued as at 31 March 2010 and as at 31 March 2013.</t>
  </si>
  <si>
    <t>During 2012/13 there were 6 early retirements (2011/12, 4) from the NHS Foundation Trust agreed on the grounds of ill-health.  The estimated additional pension liabilities of these ill-health retirements will be £411,943 (2011/12, £233,717).  The cost of these ill-health retirements will be borne by the NHS Business Services Authority - Pensions Division.</t>
  </si>
  <si>
    <t>In one year or less</t>
  </si>
  <si>
    <t>In more than one year but not more than two years</t>
  </si>
  <si>
    <t>In more than two years but not more than five years</t>
  </si>
  <si>
    <t>In more than five years</t>
  </si>
  <si>
    <t xml:space="preserve">Increase in other provisions </t>
  </si>
  <si>
    <t xml:space="preserve">  • the asset is available for immediate sale in its present condition subject only to terms which are usual
  and customary for such sales;
  • the sale must be highly probable i.e.: 
      - management are committed to a plan to sell the asset; 
      - an active programme has begun to find a buyer and complete the sale; 
      - the asset is being actively marketed at a reasonable price; 
      - the sale is expected to be completed within 12 months of the date of classification as ‘Held for 
        Sale’;
     - the actions needed to complete the plan indicate it is unlikely that the plan will be dropped or
       significant changes made to it. </t>
  </si>
  <si>
    <t>Annual increases are applied to pension payments at rates defined by the Pensions (Increase) Act 1971, and are based on changes in retail prices in the twelve months ending 30 September in the previous calendar year. From 2011-12 the Consumer Price Index (CPI) will be used to replace the Retail Prices Index (RPI).</t>
  </si>
  <si>
    <t>The contract involved the lease of Trust land to the operator for nil consideration. The substance of this transaction was that it would result in lower annual payments over the life of the contract, i.e. an implicit reduction in the unitary charge since the operator has not had to lease the land on the open market. Consequently the value of the land (£700K at 2012/13 value) is recorded within the Trust's total land value.</t>
  </si>
  <si>
    <t>Other reserve movements</t>
  </si>
  <si>
    <t>Transfer between reserves</t>
  </si>
  <si>
    <t>Public dividend capital received</t>
  </si>
  <si>
    <t>Nursing, midwifery and health visiting learners</t>
  </si>
  <si>
    <t>The total charged in the year to operating expenses in respect of the service element of on-'Statement of Financial Position' PFI contracts was £492k (prior year £473k).</t>
  </si>
  <si>
    <t>Public Dividend Capital received</t>
  </si>
  <si>
    <t>Expenditure on employee benefits</t>
  </si>
  <si>
    <t>Short term employee benefits</t>
  </si>
  <si>
    <t>Accounting policies</t>
  </si>
  <si>
    <t>NHS Pension scheme</t>
  </si>
  <si>
    <t>Local government pension scheme</t>
  </si>
  <si>
    <t xml:space="preserve">Property, plant and equipment </t>
  </si>
  <si>
    <t xml:space="preserve">Private finance initiative (PFI) transactions  </t>
  </si>
  <si>
    <t xml:space="preserve">Government grants </t>
  </si>
  <si>
    <t xml:space="preserve">Classification and measurement </t>
  </si>
  <si>
    <t xml:space="preserve">
Financial assets and financial liabilities at ‘Fair value through income and expenditure’ </t>
  </si>
  <si>
    <t xml:space="preserve">Public dividend capital </t>
  </si>
  <si>
    <t xml:space="preserve">Value added tax </t>
  </si>
  <si>
    <t>Corporation tax</t>
  </si>
  <si>
    <t>Critical accounting estimates and judgements</t>
  </si>
  <si>
    <t xml:space="preserve">The following are the key assumptions concerning the future, and other key sources of estimation uncertainty at the end of the reporting period, that have a significant risk of causing a material adjustment to the carrying amounts of assets and liabilities within the next financial year.
• Property Valuations
Property Plant and Equipment Assets were valued by the District Valuers as at 31 March 2013. These valuations are based on Royal Institution of Chartered Surveyors valuation standards insofar as these are consistent with the requirements of HM Treasury, the National Health Service and the Department of Health. 
• Estimation of replacement of components of the PFI asset during the contract - 'lifecycle replacement'.
PFI lifecycle replacement costs are estimated to take place as planned and at the values included in the operator's financial model as adjusted for indexation.
• Estimation of payments for the PFI asset, including finance costs. 
The assets and liabilities relating to the PFI scheme have been brought onto the Statement of Financial Position based on estimations from the Department of Health's financial model as required by Department of Health guidance.  These estimations were reviewed by external audit as part of the 2008/09 IFRS accounts restatement exercise.
• Estimation of asset lives as the basis for depreciation calculations.
 Depreciation of equipment is based on asset lives, which have been estimated upon recognition of the assets.  
• Discount rates for provisions.
Where the effect of the time value of money is significant, the estimated risk-adjusted cash flows are discounted using the discount rates published and mandated by HM Treasury.  
</t>
  </si>
  <si>
    <t>Income from activities (by activity)</t>
  </si>
  <si>
    <t>Mental health</t>
  </si>
  <si>
    <t>Community services</t>
  </si>
  <si>
    <t>Income from activities (by source)</t>
  </si>
  <si>
    <t>Primary care trusts</t>
  </si>
  <si>
    <t>Local authorities</t>
  </si>
  <si>
    <t>NHS trusts</t>
  </si>
  <si>
    <t>Foundation trusts</t>
  </si>
  <si>
    <t>Bodies external to government</t>
  </si>
  <si>
    <t>Receipt of donations for capital acquisitions</t>
  </si>
  <si>
    <t>Losses, ex gratia &amp; special payments</t>
  </si>
  <si>
    <t>Audit services - regulatory reporting</t>
  </si>
  <si>
    <t xml:space="preserve">Audit services - other </t>
  </si>
  <si>
    <t>Staff costs and numbers</t>
  </si>
  <si>
    <t>Employer contributions to NHS pension scheme</t>
  </si>
  <si>
    <t>Permanently employed</t>
  </si>
  <si>
    <t>Directors' remuneration and other benefits</t>
  </si>
  <si>
    <t>Staff exit packages</t>
  </si>
  <si>
    <t>Exit package cost band</t>
  </si>
  <si>
    <t xml:space="preserve">Total number of exit packages </t>
  </si>
  <si>
    <t>Total resource cost £'000</t>
  </si>
  <si>
    <t>Total number of exit packages</t>
  </si>
  <si>
    <t>Number of compulsory redundancies</t>
  </si>
  <si>
    <t>Number of other departures agreed</t>
  </si>
  <si>
    <t>Employee benefits</t>
  </si>
  <si>
    <t>In 2009-10, 22 members of staff transferred employment from Buckinghamshire County Council.  As at 31 March 2013, 15 of these retain active membership of the Buckinghamshire County Council Pension Scheme, which is a defined benefits scheme.</t>
  </si>
  <si>
    <t>Local government superannuation scheme</t>
  </si>
  <si>
    <t>Buckinghamshire County Council pension scheme</t>
  </si>
  <si>
    <t>Operating lease payments recognised as an expense</t>
  </si>
  <si>
    <t>Finance leases</t>
  </si>
  <si>
    <t>Audit remuneration</t>
  </si>
  <si>
    <t>Better payment practice code</t>
  </si>
  <si>
    <t>Bank account interest</t>
  </si>
  <si>
    <t>Finance expense</t>
  </si>
  <si>
    <t>* The interest on the outstanding PFI liability.</t>
  </si>
  <si>
    <t>All intangible assets held by the Trust are software licences which are held at depreciated replacement cost.  The useful lives of software assets are finite.  The useful remaining life of software licences range from between 1 year and 5 years.</t>
  </si>
  <si>
    <t>Analysis of property, plant and equipment 2012/13</t>
  </si>
  <si>
    <t xml:space="preserve">Economic life of property, plant and equipment </t>
  </si>
  <si>
    <t>Minimum life years</t>
  </si>
  <si>
    <t>Maximum life years</t>
  </si>
  <si>
    <t>Further comments on property, plant and equipment</t>
  </si>
  <si>
    <t>Profit/(loss) on disposal of fixed assets</t>
  </si>
  <si>
    <t>Profit/(loss) on the disposal of fixed assets is made up as follows:</t>
  </si>
  <si>
    <t>Impairment of property, plant and equipment</t>
  </si>
  <si>
    <t>Recognised in operating expenses</t>
  </si>
  <si>
    <t xml:space="preserve">Impairments due to changes in market price </t>
  </si>
  <si>
    <t>Change to revaluation reserve</t>
  </si>
  <si>
    <t>Impairments due to changes in market price</t>
  </si>
  <si>
    <t>Property, plant and equipment impairments and reversals taken to SoCI</t>
  </si>
  <si>
    <t>20,29</t>
  </si>
  <si>
    <t xml:space="preserve">Receivables due from NHS charities - revenue </t>
  </si>
  <si>
    <t>The majority of activity is with Primary Care Trusts, as commissioners for NHS patient care services.  As Primary Care Trusts are funded by Government to buy NHS patient care services, no credit scoring of them is considered necessary.</t>
  </si>
  <si>
    <t>Impairing of receivables</t>
  </si>
  <si>
    <t>Disposal groups</t>
  </si>
  <si>
    <t>Financial investments</t>
  </si>
  <si>
    <t>Analysis of property plant and equipment assets held for sale</t>
  </si>
  <si>
    <t>DH loan facility of £28.1m for the Manor House redevelopment has been fully drawn down. £19.3m was received in 2012/13 and £8.8m had been received in prior years. This loan will be repaid in full by 2034.</t>
  </si>
  <si>
    <t xml:space="preserve">Holiday pay accrual </t>
  </si>
  <si>
    <t>Other - deferred Income</t>
  </si>
  <si>
    <t>Provisions by category</t>
  </si>
  <si>
    <t>Analysis of provisions</t>
  </si>
  <si>
    <t>Other - redundancy</t>
  </si>
  <si>
    <t>Other - pensions to death</t>
  </si>
  <si>
    <t>Other - injury benefit</t>
  </si>
  <si>
    <t>Other - employment</t>
  </si>
  <si>
    <t>Other - dilapidations</t>
  </si>
  <si>
    <t>Agenda for change</t>
  </si>
  <si>
    <t>Local government pension scheme*</t>
  </si>
  <si>
    <t>Total revaluation reserve</t>
  </si>
  <si>
    <t>Revaluation reserve -intangibles</t>
  </si>
  <si>
    <t>Revaluation reserve -property, plant and equipment</t>
  </si>
  <si>
    <t>Charges to expenditure</t>
  </si>
  <si>
    <t>Private finance initiatives</t>
  </si>
  <si>
    <t>PFI schemes on-'statement of financial position'</t>
  </si>
  <si>
    <t>PFI schemes off-'statement of financial position'</t>
  </si>
  <si>
    <t>The Trust has no PFI schemes off-'statement of financial position'</t>
  </si>
  <si>
    <t>Financial ratios 2012/13</t>
  </si>
  <si>
    <t>Performance against the prudential borrowing limit</t>
  </si>
  <si>
    <t>Rentals under operating leases</t>
  </si>
  <si>
    <t>Oxford University Hospitals NHS Trust</t>
  </si>
  <si>
    <t>Bath And North East Somerset PCT</t>
  </si>
  <si>
    <t>University Hospitals Of Leicester NHS Trust</t>
  </si>
  <si>
    <t>South East Essex PCT</t>
  </si>
  <si>
    <t>Calderdale And Huddersfield NHS Foundation Trust</t>
  </si>
  <si>
    <t>Welsh Assembly Government (incl all other Welsh Health Bodies)</t>
  </si>
  <si>
    <t xml:space="preserve">NHS Pension Scheme </t>
  </si>
  <si>
    <t>NHS Professionals</t>
  </si>
  <si>
    <r>
      <t>*relates to 8 directors</t>
    </r>
    <r>
      <rPr>
        <sz val="10"/>
        <color rgb="FFFF0000"/>
        <rFont val="Arial"/>
        <family val="2"/>
      </rPr>
      <t xml:space="preserve"> </t>
    </r>
    <r>
      <rPr>
        <sz val="10"/>
        <rFont val="Arial"/>
        <family val="2"/>
      </rPr>
      <t>(7 in 2011/12) accruing benefits under the NHS Pension Scheme, a defined benefit scheme</t>
    </r>
  </si>
  <si>
    <t>Maturity of financial liabilities</t>
  </si>
  <si>
    <t>Financial liabilities</t>
  </si>
  <si>
    <t>Financial instruments</t>
  </si>
  <si>
    <t>Financial assets</t>
  </si>
  <si>
    <t>Loans and receivables</t>
  </si>
  <si>
    <r>
      <t>The Department of Health is regarded as a related party. During the year the Trust has had a significant number of material transactions with the Department, and with other entities for which the Department is regarded as the parent Department. These entities are listed below in order of significance.  Oxfordshire PCT and Buckinghamshire PCT account for</t>
    </r>
    <r>
      <rPr>
        <sz val="10"/>
        <rFont val="Arial"/>
        <family val="2"/>
      </rPr>
      <t xml:space="preserve"> 75%</t>
    </r>
    <r>
      <rPr>
        <sz val="10"/>
        <color theme="1"/>
        <rFont val="Arial"/>
        <family val="2"/>
      </rPr>
      <t xml:space="preserve"> of the Trust's clinical income.</t>
    </r>
  </si>
  <si>
    <t>Redundancy (Included in Employee Expenses)</t>
  </si>
  <si>
    <t>The Trust has adopted the above operating expenses table in line with Monitor FTC guidance. The 2011/12 total remains the same but the figures have been presented in the new categories for comparative purposes.</t>
  </si>
  <si>
    <t>Total as at 31 March 2013</t>
  </si>
  <si>
    <t>£11,841K of the capital expenditure commitments relate to Manor House scheme which is due to be completed in November 2013</t>
  </si>
  <si>
    <t>11,43</t>
  </si>
  <si>
    <t>Net finance expense on Local Government Pension Scheme</t>
  </si>
  <si>
    <t>Under the provisions of The Health and Social Care Act 2012 (Commencement No.4. Transitional, Savings and Transitory Provisions) Order 2013, Primary Care Trusts (PCTs) and Strategic Health Authorities (SHAs) were  dissolved on 1 April 2013.  The PCT’s/SHA’s functions, assets and liabilities transferred to other public sector entities. PCTs  and SHAs are related parties to Oxford Health NHS Foundation Trust and where reconfigurations of this nature take place within the public sector, Government accounting requires that the activities concerned are to be considered as continuing operations.</t>
  </si>
  <si>
    <t xml:space="preserve">A loss of £121k was incurred in relation to a bank mandate fraud. </t>
  </si>
  <si>
    <t xml:space="preserve">Some employees are members of the Local Government Superannuation Scheme which is a defined benefit pension scheme. The net scheme assets or liabilities attributable to these employees can be identified and are recognised in the trust’s accounts, arising from the date of transfer to the Trust. The assets are measured at fair value, and the liabilities at the present value of future obligations. </t>
  </si>
  <si>
    <t xml:space="preserve">
They are restated to current value each year.  The carrying values of tangible fixed assets are reviewed for impairment in periods if events or changes in circumstances indicate the carrying value may not be recoverable. Costs arising from financing the construction of the fixed assets are not capitalised but are charged to the Statement of Comprehensive Income in the year to which they relate.</t>
  </si>
  <si>
    <t xml:space="preserve">Assets in the course of construction are valued at cost and are valued by professional valuers when they are brought into use. </t>
  </si>
  <si>
    <t>Other auditor remuneration</t>
  </si>
  <si>
    <t>£8k of the other auditor remuneration relates to property valuation advice.</t>
  </si>
  <si>
    <t>Employee Car Leases*</t>
  </si>
  <si>
    <t>*Leases for employee lease cars are the Trust's liability but not recognised in operating expenses as they are deducted directly from employee salary.</t>
  </si>
  <si>
    <t>The £10,358k impairment due to changes in market price was offset by a £4,326k upward revaluation due to changes in market price, resulting in a net impairment of £6,032k.</t>
  </si>
  <si>
    <t>The £3,427k in 2011/12 relates to the impairment of design and professional fees for the development of the Manor House hospital in Aylesbury, following a redesign which will result in a lower operating cost for the hospital.</t>
  </si>
  <si>
    <t>Local Government Pension Scheme*</t>
  </si>
  <si>
    <t>* £422k of this 'other liability' has been reclassified from provisions (see note 28)</t>
  </si>
  <si>
    <t>A Treasury approved ex gratia payment of £103k was made in relation to the severance of employment of a former Director of the Trust.</t>
  </si>
  <si>
    <r>
      <rPr>
        <sz val="10"/>
        <rFont val="Arial"/>
        <family val="2"/>
      </rPr>
      <t>T</t>
    </r>
    <r>
      <rPr>
        <sz val="10"/>
        <color theme="1"/>
        <rFont val="Arial"/>
        <family val="2"/>
      </rPr>
      <t>he Department of Health guidance allowed NHS Trusts and Foundation Trusts to be given the opportunity to acquire parts of the PCT estate deemed ‘service critical clinical infrastructure’. Oxford Health NHS Foundation Trust assessed the benefit of acquiring these premises and agreed to the transfer of 12 premises on 1 April 2013 from Oxfordshire Primary Care Trust. According to Monitor’s Compliance framework, this was deemed a ‘significant’ transaction, estimated at £41.4m and as such the transaction has been reviewed by Monitor.</t>
    </r>
  </si>
  <si>
    <t>Financial risk management</t>
  </si>
  <si>
    <t>Intra-Government and other balances</t>
  </si>
  <si>
    <t>Third party assets</t>
  </si>
  <si>
    <t>Accounting Standards that have been issued but have not yet been adopted</t>
  </si>
  <si>
    <t>Redundancy and other departure costs have been paid in accordance with the provisions of the NHS Scheme. Where the Trust has agreed early retirements, the additional costs are met by the Trust and not by the NHS pensions scheme. Ill-health retirement costs are met by the NHS pensions scheme and are not included in the table.</t>
  </si>
  <si>
    <t>a) Accounting valuation</t>
  </si>
  <si>
    <t>A valuation of the scheme liability is carried out annually by the scheme actuary as at the end of the reporting period. Actuarial assessments are undertaken in intervening years between formal valuations using updated membership data and are accepted as providing suitably robust figures for financial reporting purposes. The valuation of the scheme liability as at 31 March 2013, is based on the valuation data as 31 March 2012, updated to 31 March 2013 with summary global member and accounting data. In undertaking this actuarial assessment, the methodology prescribed in IAS 19, relevant FReM interpretations, and the discount rate prescribed by HM Treasury have also been used.</t>
  </si>
  <si>
    <t>b) Full actuarial (funding) valuation</t>
  </si>
  <si>
    <t xml:space="preserve">The Scheme Regulations were changed to allow contribution rates to be set by the Secretary of State for Health, with the consent of HM Treasury, and consideration of the advice of the Scheme Actuary and appropriate employee and employer representatives as deemed appropriate. </t>
  </si>
  <si>
    <t>The next formal valuation to be used for funding purposes will be carried out at as at March 2012 and will be used to inform the contribution rates to be used from 1 April 2015.</t>
  </si>
  <si>
    <t>Early payment of a pension, with enhancement, is available to members of the scheme who are permanently incapable of fulfilling their duties effectively through illness or infirmity.  A death gratuity of twice final year’s pensionable pay for death in service, and five times their annual pension for death after retirement is payable</t>
  </si>
  <si>
    <r>
      <t>The last published actuarial valuation undertaken for the NHS Pension Scheme was completed for the year ending 31</t>
    </r>
    <r>
      <rPr>
        <vertAlign val="superscript"/>
        <sz val="10"/>
        <color theme="1"/>
        <rFont val="Arial"/>
        <family val="2"/>
      </rPr>
      <t xml:space="preserve"> </t>
    </r>
    <r>
      <rPr>
        <sz val="10"/>
        <color theme="1"/>
        <rFont val="Arial"/>
        <family val="2"/>
      </rPr>
      <t xml:space="preserve">March 2004. Consequently, a formal actuarial valuation would have been due for the year ending 31 March 2008. However, formal actuarial valuations for unfunded public service schemes were suspended by HM Treasury on value for money grounds while consideration is given to recent changes to public service pensions, and while future scheme terms are developed as part of the reforms to public service pension provision due in 2015. </t>
    </r>
  </si>
  <si>
    <t>The expected return on assets is based on the long-term future expected investment return for each asset class as at the beginning of the period (i.e. as at 1 April 2012 for the year to 31 March 2013). The returns on gilts and other bonds are assumed to be gilt yield and corporate bond yield respectively at the relevant date.  The returns on equities and property are then assumed to be a margin above gilt yields.</t>
  </si>
  <si>
    <t xml:space="preserve">The Trust has a Working Capital Facility of £15.0m in place from 1st April 2013 (£20.0m during 2011/12 and 2012/13) which will be reviewed in line with Monitor Risk Framework guidance. </t>
  </si>
  <si>
    <t>SURPLUS  FOR THE FINANCIAL YEAR</t>
  </si>
  <si>
    <t>Revaluation (losses)/gains and impairment losses property, plant and equipment</t>
  </si>
  <si>
    <t>Surplus for the year</t>
  </si>
  <si>
    <t>Revaluation losses and impairment losses on property plant and equipment</t>
  </si>
  <si>
    <t>Actuarial gains on defined benefit pension schemes</t>
  </si>
  <si>
    <t>Revaluation gains on property plant and equipment</t>
  </si>
  <si>
    <t>Actuarial losses on defined benefit pension schemes</t>
  </si>
  <si>
    <t>Operating surplus from continuing operations</t>
  </si>
  <si>
    <t xml:space="preserve">Operating surplus of discontinued operations </t>
  </si>
  <si>
    <t>Decrease/(Increase) in trade and other receivables</t>
  </si>
  <si>
    <t>Decrease in inventories</t>
  </si>
  <si>
    <t>Increase in trade and other payables</t>
  </si>
  <si>
    <t>(Decrease)/Increase in other liabilities</t>
  </si>
  <si>
    <t>Increase in provisions</t>
  </si>
  <si>
    <t>NET CASH GENERATED FROM OPERATIONS</t>
  </si>
  <si>
    <t>NET CASH GENERATED USED IN INVESTING ACTIVITIES</t>
  </si>
  <si>
    <t>Increase in cash and cash equivalents</t>
  </si>
  <si>
    <t> • Healthcare being all the other activities of the NHS Foundation Trust.</t>
  </si>
  <si>
    <t xml:space="preserve">Increase in provision for impairment of receivables </t>
  </si>
  <si>
    <t xml:space="preserve">The Trust commissioned Barnett Waddingham to prepare an actuarial report to provide full pension details in accordance with Financial Reporting Standard 17 (FRS17). The report is available on request. </t>
  </si>
  <si>
    <t>Accruals*</t>
  </si>
  <si>
    <t>Transfer from trade payables (accruals)</t>
  </si>
  <si>
    <t>Transfer to other liabilities</t>
  </si>
  <si>
    <t>The inflation of the PFI scheme is linked directly to RPI.</t>
  </si>
  <si>
    <t>The non current assets held for sale at 31 March 2013 relates to Boundary Brook House, formally Park Hospital (Oxford).  The Trust have accepted an offer on this property and contracts have been exchanged. The offer is subject to planning consent. The Trust expects the sale to be complete in 2013/14.  The terms of the offer include an operating lease arrangement back to the Trust.  The sale agreement gives the purchaser the option to purchase an additional piece of land for a fixed price of £254,000 which is approximately equal to its carrying value.</t>
  </si>
  <si>
    <t>The notes on pages 5 to 46 form part of these accounts.</t>
  </si>
  <si>
    <t>*Accruals for 31 March 2012 included an accrual for dilapadations (£246k), now moved to provisions.</t>
  </si>
  <si>
    <t>PFI liability will be repaid in full by 2024. The loan in respect of Nuffield Health Centre will be repaid in full by 2015. The Trust has received Salix Finance Ltd Energy Efficiency Loans totalling £86k which will repaid in full by 2014.</t>
  </si>
  <si>
    <t>*The £422k provision for the Buckinghamshire County Council pension scheme liability held at the 31 March 2012, has been reclassified as an 'other liability' as at 31 March 2013 (therefore shown as 'reversed unused' in the table above).</t>
  </si>
  <si>
    <t>After conducting a detailed review which included consideration of forecasts covering the next twelve months (and projections for 2014-16) and the progress made in transferring contractual arrangements to our new commissioners, the directors have a reasonable expectation that Oxford Health NHS Foundation Trust has adequate resources to continue in operational existence for the foreseeable future. For this reason, the Audit Committee, on behalf of the Board of Directors, resolves to approve the preparation of the accounts on a going concern basis.</t>
  </si>
  <si>
    <t xml:space="preserve">
The Treasury FReM does not require the following Standards and Interpretations to be applied in 2012-13. The application of the Standards as revised would not have a material impact on the accounts for 2012-13, were they applied in that year:
IAS 27 Separate Financial Statements  - subject to consultation
IAS 28 Investments in Associates and Joint Ventures - subject to consultation
IFRS 9 Financial Instruments - subject to consultation  - subject to consultation
IFRS 10 Consolidated Financial Statements  - subject to consultation
IFRS 11 Joint Arrangements  - subject to consultation
IFRS 12 Disclosure of Interests in Other Entities  - subject to consultation
IFRS 13 Fair Value Measurement - subject to consultation
IPSAS 32 - Service Concession Arrangement - subject to consultation</t>
  </si>
  <si>
    <t>Donated and grant funded property, plant and equipment assets are capitalised at their fair value on receipt. The donation/grant is credited to income at the same time, unless the donor has imposed a condition that the future economic benefits embodied in the grant are to be consumed in a manner specified by the donor, in which case, the donation/grant is deferred within liabilities and is carried forward to future financial years to the extent that the condition has not yet been met. 
The donated and grant funded assets are subsequently accounted for in the same manner as other items of property, plant and equipment.</t>
  </si>
  <si>
    <t xml:space="preserve">Balances with other NHS Bodies </t>
  </si>
  <si>
    <t>Balances with other NHS Bodies</t>
  </si>
</sst>
</file>

<file path=xl/styles.xml><?xml version="1.0" encoding="utf-8"?>
<styleSheet xmlns="http://schemas.openxmlformats.org/spreadsheetml/2006/main">
  <numFmts count="22">
    <numFmt numFmtId="6" formatCode="&quot;£&quot;#,##0;[Red]\-&quot;£&quot;#,##0"/>
    <numFmt numFmtId="42" formatCode="_-&quot;£&quot;* #,##0_-;\-&quot;£&quot;* #,##0_-;_-&quot;£&quot;* &quot;-&quot;_-;_-@_-"/>
    <numFmt numFmtId="43" formatCode="_-* #,##0.00_-;\-* #,##0.00_-;_-* &quot;-&quot;??_-;_-@_-"/>
    <numFmt numFmtId="164" formatCode="#,##0;\(#,##0\)"/>
    <numFmt numFmtId="165" formatCode="[$-F800]dddd\,\ mmmm\ dd\,\ yyyy"/>
    <numFmt numFmtId="166" formatCode="#,##0;\-#,##0;\-"/>
    <numFmt numFmtId="167" formatCode="mmm\ \-\ yy"/>
    <numFmt numFmtId="168" formatCode="#,##0.0"/>
    <numFmt numFmtId="169" formatCode="[$-809]dd\ mmmm\ yyyy;@"/>
    <numFmt numFmtId="170" formatCode="#,##0;[Red]\(#,##0\)"/>
    <numFmt numFmtId="171" formatCode="#,##0;[Red]\(#,##0\)\ "/>
    <numFmt numFmtId="172" formatCode="#,##0;[Red]#,##0"/>
    <numFmt numFmtId="173" formatCode="#,##0.0;\(#,##0.0\)"/>
    <numFmt numFmtId="174" formatCode="#,##0.00;\(#,##0.00\)"/>
    <numFmt numFmtId="175" formatCode="0.0%"/>
    <numFmt numFmtId="176" formatCode="_-* #,##0_-;\-* #,##0_-;_-* &quot;-&quot;??_-;_-@_-"/>
    <numFmt numFmtId="177" formatCode="0_ ;\-0\ "/>
    <numFmt numFmtId="178" formatCode="#,##0;[Red]\(#,##0\)\ \ \ "/>
    <numFmt numFmtId="179" formatCode="0.0"/>
    <numFmt numFmtId="180" formatCode="#,##0\ \ ;[Red]\(#,##0\)"/>
    <numFmt numFmtId="181" formatCode="#,##0.0;[Red]\(#,##0.0\)\ \ \ "/>
    <numFmt numFmtId="182" formatCode="&quot;Val &quot;0"/>
  </numFmts>
  <fonts count="79">
    <font>
      <sz val="11"/>
      <color theme="1"/>
      <name val="Calibri"/>
      <family val="2"/>
      <scheme val="minor"/>
    </font>
    <font>
      <sz val="11"/>
      <color theme="1"/>
      <name val="Calibri"/>
      <family val="2"/>
      <scheme val="minor"/>
    </font>
    <font>
      <sz val="10"/>
      <name val="Arial"/>
      <family val="2"/>
    </font>
    <font>
      <sz val="12"/>
      <name val="Arial"/>
      <family val="2"/>
    </font>
    <font>
      <b/>
      <sz val="11"/>
      <name val="Arial"/>
      <family val="2"/>
    </font>
    <font>
      <sz val="10"/>
      <name val="MS Sans Serif"/>
      <family val="2"/>
    </font>
    <font>
      <u/>
      <sz val="10"/>
      <color indexed="12"/>
      <name val="MS Sans Serif"/>
      <family val="2"/>
    </font>
    <font>
      <b/>
      <sz val="14"/>
      <name val="Arial"/>
      <family val="2"/>
    </font>
    <font>
      <sz val="8"/>
      <color indexed="10"/>
      <name val="Arial"/>
      <family val="2"/>
    </font>
    <font>
      <b/>
      <sz val="10"/>
      <color indexed="18"/>
      <name val="MS Sans Serif"/>
      <family val="2"/>
    </font>
    <font>
      <sz val="11"/>
      <name val="Times New Roman"/>
      <family val="1"/>
    </font>
    <font>
      <sz val="10"/>
      <color indexed="23"/>
      <name val="Arial"/>
      <family val="2"/>
    </font>
    <font>
      <sz val="10"/>
      <color indexed="24"/>
      <name val="Arial"/>
      <family val="2"/>
    </font>
    <font>
      <sz val="18"/>
      <name val="Times New Roman"/>
      <family val="1"/>
    </font>
    <font>
      <b/>
      <sz val="13"/>
      <name val="Times New Roman"/>
      <family val="1"/>
    </font>
    <font>
      <b/>
      <i/>
      <sz val="12"/>
      <name val="Times New Roman"/>
      <family val="1"/>
    </font>
    <font>
      <i/>
      <sz val="12"/>
      <name val="Times New Roman"/>
      <family val="1"/>
    </font>
    <font>
      <sz val="11"/>
      <name val="Univers 45 Light"/>
      <family val="2"/>
    </font>
    <font>
      <b/>
      <sz val="16"/>
      <color indexed="9"/>
      <name val="Arial"/>
      <family val="2"/>
    </font>
    <font>
      <b/>
      <sz val="16"/>
      <color indexed="24"/>
      <name val="Univers 45 Light"/>
      <family val="2"/>
    </font>
    <font>
      <sz val="11"/>
      <color indexed="8"/>
      <name val="Calibri"/>
      <family val="2"/>
    </font>
    <font>
      <sz val="12"/>
      <color theme="1"/>
      <name val="Arial"/>
      <family val="2"/>
    </font>
    <font>
      <sz val="12"/>
      <color rgb="FFFF0000"/>
      <name val="Arial"/>
      <family val="2"/>
    </font>
    <font>
      <b/>
      <sz val="11"/>
      <color theme="1"/>
      <name val="Calibri"/>
      <family val="2"/>
      <scheme val="minor"/>
    </font>
    <font>
      <b/>
      <sz val="10"/>
      <name val="Arial"/>
      <family val="2"/>
    </font>
    <font>
      <sz val="10"/>
      <name val="Times New Roman"/>
      <family val="1"/>
    </font>
    <font>
      <b/>
      <sz val="12"/>
      <name val="Arial"/>
      <family val="2"/>
    </font>
    <font>
      <b/>
      <sz val="12"/>
      <color theme="1"/>
      <name val="Arial"/>
      <family val="2"/>
    </font>
    <font>
      <b/>
      <sz val="12"/>
      <color indexed="8"/>
      <name val="Arial"/>
      <family val="2"/>
    </font>
    <font>
      <sz val="11"/>
      <name val="Arial"/>
      <family val="2"/>
    </font>
    <font>
      <sz val="10"/>
      <color indexed="8"/>
      <name val="Arial"/>
      <family val="2"/>
    </font>
    <font>
      <sz val="9.5"/>
      <color indexed="8"/>
      <name val="Arial"/>
      <family val="2"/>
    </font>
    <font>
      <b/>
      <i/>
      <sz val="10"/>
      <color indexed="8"/>
      <name val="Arial"/>
      <family val="2"/>
    </font>
    <font>
      <b/>
      <i/>
      <sz val="10"/>
      <name val="Arial"/>
      <family val="2"/>
    </font>
    <font>
      <i/>
      <sz val="10"/>
      <name val="Arial"/>
      <family val="2"/>
    </font>
    <font>
      <i/>
      <sz val="10"/>
      <color indexed="8"/>
      <name val="Arial"/>
      <family val="2"/>
    </font>
    <font>
      <sz val="7"/>
      <color indexed="8"/>
      <name val="Arial"/>
      <family val="2"/>
    </font>
    <font>
      <i/>
      <sz val="9.5"/>
      <color indexed="8"/>
      <name val="Arial"/>
      <family val="2"/>
    </font>
    <font>
      <b/>
      <i/>
      <sz val="9.5"/>
      <name val="Arial"/>
      <family val="2"/>
    </font>
    <font>
      <b/>
      <sz val="11"/>
      <color theme="1"/>
      <name val="Arial"/>
      <family val="2"/>
    </font>
    <font>
      <sz val="11"/>
      <color theme="1"/>
      <name val="Arial"/>
      <family val="2"/>
    </font>
    <font>
      <sz val="11"/>
      <color indexed="8"/>
      <name val="Arial"/>
      <family val="2"/>
    </font>
    <font>
      <b/>
      <i/>
      <sz val="11"/>
      <color indexed="8"/>
      <name val="Arial"/>
      <family val="2"/>
    </font>
    <font>
      <b/>
      <u/>
      <sz val="11"/>
      <name val="Arial"/>
      <family val="2"/>
    </font>
    <font>
      <b/>
      <sz val="11"/>
      <color indexed="8"/>
      <name val="Arial"/>
      <family val="2"/>
    </font>
    <font>
      <sz val="10"/>
      <color theme="1"/>
      <name val="Arial"/>
      <family val="2"/>
    </font>
    <font>
      <b/>
      <sz val="10"/>
      <color theme="1"/>
      <name val="Arial"/>
      <family val="2"/>
    </font>
    <font>
      <b/>
      <sz val="12"/>
      <color theme="1"/>
      <name val="Calibri"/>
      <family val="2"/>
      <scheme val="minor"/>
    </font>
    <font>
      <i/>
      <sz val="11"/>
      <color theme="1"/>
      <name val="Arial"/>
      <family val="2"/>
    </font>
    <font>
      <b/>
      <i/>
      <sz val="11"/>
      <color theme="1"/>
      <name val="Arial"/>
      <family val="2"/>
    </font>
    <font>
      <b/>
      <sz val="10"/>
      <color indexed="8"/>
      <name val="Arial"/>
      <family val="2"/>
    </font>
    <font>
      <u/>
      <sz val="10"/>
      <color theme="1"/>
      <name val="Arial"/>
      <family val="2"/>
    </font>
    <font>
      <sz val="11"/>
      <color rgb="FFFF0000"/>
      <name val="Calibri"/>
      <family val="2"/>
      <scheme val="minor"/>
    </font>
    <font>
      <b/>
      <sz val="12"/>
      <color rgb="FFFF0000"/>
      <name val="Arial"/>
      <family val="2"/>
    </font>
    <font>
      <b/>
      <sz val="11"/>
      <color rgb="FFFF0000"/>
      <name val="Calibri"/>
      <family val="2"/>
      <scheme val="minor"/>
    </font>
    <font>
      <sz val="11"/>
      <color rgb="FFFF0000"/>
      <name val="Arial"/>
      <family val="2"/>
    </font>
    <font>
      <sz val="12"/>
      <color theme="1"/>
      <name val="Calibri"/>
      <family val="2"/>
      <scheme val="minor"/>
    </font>
    <font>
      <b/>
      <u/>
      <sz val="11"/>
      <color theme="1"/>
      <name val="Arial"/>
      <family val="2"/>
    </font>
    <font>
      <u/>
      <sz val="11"/>
      <color theme="1"/>
      <name val="Arial"/>
      <family val="2"/>
    </font>
    <font>
      <sz val="11"/>
      <name val="Calibri"/>
      <family val="2"/>
      <scheme val="minor"/>
    </font>
    <font>
      <b/>
      <sz val="12"/>
      <name val="Calibri"/>
      <family val="2"/>
      <scheme val="minor"/>
    </font>
    <font>
      <sz val="10"/>
      <color theme="1"/>
      <name val="Calibri"/>
      <family val="2"/>
      <scheme val="minor"/>
    </font>
    <font>
      <vertAlign val="superscript"/>
      <sz val="10"/>
      <color theme="1"/>
      <name val="Arial"/>
      <family val="2"/>
    </font>
    <font>
      <sz val="10"/>
      <name val="Geneva"/>
      <family val="2"/>
    </font>
    <font>
      <sz val="10"/>
      <color rgb="FFFF0000"/>
      <name val="Arial"/>
      <family val="2"/>
    </font>
    <font>
      <b/>
      <sz val="10"/>
      <color rgb="FFFF0000"/>
      <name val="Arial"/>
      <family val="2"/>
    </font>
    <font>
      <b/>
      <u/>
      <sz val="10"/>
      <color theme="1"/>
      <name val="Arial"/>
      <family val="2"/>
    </font>
    <font>
      <sz val="12"/>
      <color indexed="8"/>
      <name val="Arial"/>
      <family val="2"/>
    </font>
    <font>
      <sz val="12"/>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b/>
      <sz val="8"/>
      <color indexed="8"/>
      <name val="Arial"/>
      <family val="2"/>
    </font>
    <font>
      <sz val="10"/>
      <color indexed="60"/>
      <name val="Arial"/>
      <family val="2"/>
    </font>
    <font>
      <b/>
      <i/>
      <sz val="11"/>
      <name val="Arial"/>
      <family val="2"/>
    </font>
    <font>
      <u/>
      <sz val="10"/>
      <color indexed="12"/>
      <name val="Arial"/>
      <family val="2"/>
    </font>
    <font>
      <b/>
      <sz val="14"/>
      <color indexed="60"/>
      <name val="Arial"/>
      <family val="2"/>
    </font>
    <font>
      <b/>
      <sz val="12"/>
      <color indexed="60"/>
      <name val="Arial"/>
      <family val="2"/>
    </font>
    <font>
      <b/>
      <sz val="10"/>
      <color indexed="60"/>
      <name val="Arial"/>
      <family val="2"/>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28"/>
        <bgColor indexed="64"/>
      </patternFill>
    </fill>
    <fill>
      <patternFill patternType="solid">
        <fgColor indexed="22"/>
        <bgColor indexed="64"/>
      </patternFill>
    </fill>
    <fill>
      <patternFill patternType="solid">
        <fgColor indexed="51"/>
        <bgColor indexed="64"/>
      </patternFill>
    </fill>
    <fill>
      <patternFill patternType="solid">
        <fgColor indexed="43"/>
        <bgColor indexed="64"/>
      </patternFill>
    </fill>
    <fill>
      <patternFill patternType="solid">
        <fgColor indexed="30"/>
        <bgColor indexed="64"/>
      </patternFill>
    </fill>
    <fill>
      <patternFill patternType="solid">
        <fgColor indexed="24"/>
        <bgColor indexed="64"/>
      </patternFill>
    </fill>
    <fill>
      <patternFill patternType="solid">
        <fgColor theme="0"/>
        <bgColor indexed="64"/>
      </patternFill>
    </fill>
    <fill>
      <patternFill patternType="solid">
        <fgColor rgb="FFFFFF99"/>
        <bgColor indexed="64"/>
      </patternFill>
    </fill>
    <fill>
      <patternFill patternType="solid">
        <fgColor rgb="FFFFCC99"/>
      </patternFill>
    </fill>
    <fill>
      <patternFill patternType="solid">
        <fgColor rgb="FFA5A5A5"/>
      </patternFill>
    </fill>
    <fill>
      <patternFill patternType="solid">
        <fgColor indexed="41"/>
        <bgColor indexed="64"/>
      </patternFill>
    </fill>
    <fill>
      <patternFill patternType="solid">
        <fgColor rgb="FFCCFFCC"/>
        <bgColor indexed="64"/>
      </patternFill>
    </fill>
    <fill>
      <patternFill patternType="mediumGray">
        <bgColor theme="0" tint="-0.14999847407452621"/>
      </patternFill>
    </fill>
    <fill>
      <patternFill patternType="solid">
        <fgColor rgb="FFFFCC99"/>
        <bgColor indexed="64"/>
      </patternFill>
    </fill>
  </fills>
  <borders count="37">
    <border>
      <left/>
      <right/>
      <top/>
      <bottom/>
      <diagonal/>
    </border>
    <border>
      <left style="dashed">
        <color indexed="63"/>
      </left>
      <right style="dashed">
        <color indexed="63"/>
      </right>
      <top style="dashed">
        <color indexed="63"/>
      </top>
      <bottom style="dashed">
        <color indexed="63"/>
      </bottom>
      <diagonal/>
    </border>
    <border>
      <left style="thin">
        <color indexed="63"/>
      </left>
      <right style="thin">
        <color indexed="63"/>
      </right>
      <top style="thin">
        <color indexed="63"/>
      </top>
      <bottom style="thin">
        <color indexed="63"/>
      </bottom>
      <diagonal/>
    </border>
    <border>
      <left style="dotted">
        <color indexed="28"/>
      </left>
      <right style="dotted">
        <color indexed="28"/>
      </right>
      <top style="dotted">
        <color indexed="28"/>
      </top>
      <bottom style="dotted">
        <color indexed="28"/>
      </bottom>
      <diagonal/>
    </border>
    <border>
      <left style="dashed">
        <color indexed="55"/>
      </left>
      <right style="dashed">
        <color indexed="55"/>
      </right>
      <top style="dashed">
        <color indexed="55"/>
      </top>
      <bottom style="dashed">
        <color indexed="55"/>
      </bottom>
      <diagonal/>
    </border>
    <border>
      <left style="dashed">
        <color indexed="28"/>
      </left>
      <right style="dashed">
        <color indexed="28"/>
      </right>
      <top style="dashed">
        <color indexed="28"/>
      </top>
      <bottom style="dashed">
        <color indexed="28"/>
      </bottom>
      <diagonal/>
    </border>
    <border>
      <left style="dotted">
        <color indexed="10"/>
      </left>
      <right style="dotted">
        <color indexed="10"/>
      </right>
      <top style="dotted">
        <color indexed="10"/>
      </top>
      <bottom style="dotted">
        <color indexed="10"/>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8"/>
      </left>
      <right style="thin">
        <color indexed="8"/>
      </right>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right/>
      <top style="thin">
        <color indexed="64"/>
      </top>
      <bottom/>
      <diagonal/>
    </border>
    <border>
      <left/>
      <right/>
      <top/>
      <bottom style="thin">
        <color indexed="64"/>
      </bottom>
      <diagonal/>
    </border>
  </borders>
  <cellStyleXfs count="745">
    <xf numFmtId="0" fontId="0" fillId="0" borderId="0"/>
    <xf numFmtId="0" fontId="2" fillId="0" borderId="0"/>
    <xf numFmtId="164" fontId="2" fillId="2" borderId="1" applyNumberFormat="0">
      <alignment vertical="center"/>
    </xf>
    <xf numFmtId="166" fontId="2" fillId="3" borderId="1" applyNumberFormat="0">
      <alignment vertical="center"/>
    </xf>
    <xf numFmtId="1" fontId="2" fillId="4" borderId="1" applyNumberFormat="0">
      <alignment vertical="center"/>
    </xf>
    <xf numFmtId="164" fontId="2" fillId="4" borderId="1" applyNumberFormat="0">
      <alignment vertical="center"/>
    </xf>
    <xf numFmtId="164" fontId="2" fillId="5" borderId="1" applyNumberFormat="0">
      <alignment vertical="center"/>
    </xf>
    <xf numFmtId="3" fontId="2" fillId="0" borderId="1" applyNumberFormat="0">
      <alignment vertical="center"/>
    </xf>
    <xf numFmtId="0" fontId="2" fillId="2" borderId="1" applyNumberFormat="0">
      <alignment vertical="center"/>
    </xf>
    <xf numFmtId="0" fontId="9" fillId="0" borderId="0"/>
    <xf numFmtId="167" fontId="10" fillId="5" borderId="2">
      <alignment horizontal="center"/>
    </xf>
    <xf numFmtId="0" fontId="10" fillId="6" borderId="3" applyNumberFormat="0"/>
    <xf numFmtId="0" fontId="10" fillId="5" borderId="2">
      <alignment horizontal="center"/>
    </xf>
    <xf numFmtId="0" fontId="11" fillId="5" borderId="4" applyNumberFormat="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164" fontId="12" fillId="7" borderId="5" applyNumberFormat="0">
      <alignment vertical="center"/>
    </xf>
    <xf numFmtId="0" fontId="12" fillId="8" borderId="5" applyNumberFormat="0">
      <alignment vertical="center"/>
      <protection locked="0"/>
    </xf>
    <xf numFmtId="0" fontId="12" fillId="7" borderId="5" applyNumberFormat="0">
      <alignment vertical="center"/>
    </xf>
    <xf numFmtId="38" fontId="13" fillId="0" borderId="0"/>
    <xf numFmtId="38" fontId="14" fillId="0" borderId="0"/>
    <xf numFmtId="38" fontId="15" fillId="0" borderId="0"/>
    <xf numFmtId="38" fontId="16" fillId="0" borderId="0"/>
    <xf numFmtId="0" fontId="10" fillId="0" borderId="0"/>
    <xf numFmtId="0" fontId="10" fillId="0" borderId="0"/>
    <xf numFmtId="0" fontId="12" fillId="2" borderId="6" applyNumberFormat="0">
      <alignment vertical="center"/>
      <protection locked="0"/>
    </xf>
    <xf numFmtId="0" fontId="17" fillId="2" borderId="6" applyFont="0">
      <protection locked="0"/>
    </xf>
    <xf numFmtId="0" fontId="8" fillId="0" borderId="0" applyBorder="0">
      <alignment horizontal="left" vertical="top"/>
    </xf>
    <xf numFmtId="168"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5"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0" fontId="2" fillId="0" borderId="0"/>
    <xf numFmtId="165"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5" fillId="0" borderId="0"/>
    <xf numFmtId="0" fontId="2" fillId="0" borderId="0"/>
    <xf numFmtId="0" fontId="2" fillId="0" borderId="0"/>
    <xf numFmtId="165" fontId="5" fillId="0" borderId="0"/>
    <xf numFmtId="165" fontId="5" fillId="0" borderId="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0" fontId="2" fillId="0" borderId="0" applyBorder="0"/>
    <xf numFmtId="165" fontId="5"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8" fontId="2" fillId="0" borderId="0"/>
    <xf numFmtId="165" fontId="2" fillId="0" borderId="0"/>
    <xf numFmtId="165"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4" fontId="18" fillId="9" borderId="0" applyNumberFormat="0">
      <alignment vertical="center"/>
    </xf>
    <xf numFmtId="164" fontId="19" fillId="2" borderId="0">
      <alignment vertical="center"/>
    </xf>
    <xf numFmtId="164" fontId="7" fillId="0" borderId="0"/>
    <xf numFmtId="164" fontId="4" fillId="0" borderId="0"/>
    <xf numFmtId="0" fontId="2" fillId="0" borderId="0"/>
    <xf numFmtId="0" fontId="2" fillId="0" borderId="0"/>
    <xf numFmtId="0" fontId="2" fillId="0" borderId="0"/>
    <xf numFmtId="0" fontId="2" fillId="0" borderId="0"/>
    <xf numFmtId="0" fontId="2" fillId="0" borderId="0"/>
    <xf numFmtId="0" fontId="6" fillId="0" borderId="0" applyNumberFormat="0" applyFill="0" applyBorder="0" applyAlignment="0" applyProtection="0">
      <alignment vertical="top"/>
      <protection locked="0"/>
    </xf>
    <xf numFmtId="0" fontId="2" fillId="0" borderId="0"/>
    <xf numFmtId="0" fontId="2" fillId="0" borderId="0" applyBorder="0"/>
    <xf numFmtId="0" fontId="2" fillId="0" borderId="0" applyBorder="0"/>
    <xf numFmtId="168" fontId="2" fillId="0" borderId="0"/>
    <xf numFmtId="0" fontId="2" fillId="0" borderId="0"/>
    <xf numFmtId="165" fontId="5" fillId="0" borderId="0"/>
    <xf numFmtId="0" fontId="2" fillId="0" borderId="0"/>
    <xf numFmtId="0" fontId="6" fillId="0" borderId="0" applyNumberFormat="0" applyFill="0" applyBorder="0" applyAlignment="0" applyProtection="0">
      <alignment vertical="top"/>
      <protection locked="0"/>
    </xf>
    <xf numFmtId="0" fontId="2" fillId="0" borderId="0"/>
    <xf numFmtId="0" fontId="2" fillId="0" borderId="0" applyBorder="0"/>
    <xf numFmtId="0" fontId="2" fillId="0" borderId="0" applyBorder="0"/>
    <xf numFmtId="168"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5" fillId="0" borderId="0"/>
    <xf numFmtId="168" fontId="2" fillId="0" borderId="0"/>
    <xf numFmtId="0" fontId="2" fillId="0" borderId="0" applyBorder="0"/>
    <xf numFmtId="0" fontId="2" fillId="0" borderId="0" applyBorder="0"/>
    <xf numFmtId="168" fontId="2" fillId="0" borderId="0"/>
    <xf numFmtId="0" fontId="2" fillId="0" borderId="0" applyBorder="0"/>
    <xf numFmtId="0" fontId="2" fillId="0" borderId="0" applyBorder="0"/>
    <xf numFmtId="0" fontId="6" fillId="0" borderId="0" applyNumberFormat="0" applyFill="0" applyBorder="0" applyAlignment="0" applyProtection="0">
      <alignment vertical="top"/>
      <protection locked="0"/>
    </xf>
    <xf numFmtId="0" fontId="2"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2" fillId="0" borderId="0" applyBorder="0"/>
    <xf numFmtId="0" fontId="2" fillId="0" borderId="0" applyBorder="0"/>
    <xf numFmtId="168" fontId="2" fillId="0" borderId="0"/>
    <xf numFmtId="0" fontId="2" fillId="0" borderId="0" applyBorder="0"/>
    <xf numFmtId="0" fontId="2" fillId="0" borderId="0" applyBorder="0"/>
    <xf numFmtId="168" fontId="2" fillId="0" borderId="0"/>
    <xf numFmtId="165" fontId="5" fillId="0" borderId="0"/>
    <xf numFmtId="165" fontId="5" fillId="0" borderId="0"/>
    <xf numFmtId="165"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 fillId="0" borderId="0"/>
    <xf numFmtId="0" fontId="5" fillId="0" borderId="0"/>
    <xf numFmtId="0" fontId="2" fillId="0" borderId="0"/>
    <xf numFmtId="0"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2" borderId="1" applyNumberFormat="0">
      <alignment vertical="center"/>
    </xf>
    <xf numFmtId="165" fontId="9" fillId="0" borderId="0"/>
    <xf numFmtId="165" fontId="2" fillId="0" borderId="0"/>
    <xf numFmtId="165" fontId="10" fillId="6" borderId="3" applyNumberFormat="0"/>
    <xf numFmtId="165" fontId="10" fillId="5" borderId="2">
      <alignment horizontal="center"/>
    </xf>
    <xf numFmtId="165" fontId="11" fillId="5" borderId="4" applyNumberFormat="0">
      <alignment vertical="center"/>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2" fillId="0" borderId="0"/>
    <xf numFmtId="165" fontId="12" fillId="8" borderId="5" applyNumberFormat="0">
      <alignment vertical="center"/>
      <protection locked="0"/>
    </xf>
    <xf numFmtId="165" fontId="12" fillId="7" borderId="5" applyNumberFormat="0">
      <alignment vertical="center"/>
    </xf>
    <xf numFmtId="165" fontId="2" fillId="0" borderId="0"/>
    <xf numFmtId="165" fontId="2" fillId="0" borderId="0"/>
    <xf numFmtId="165" fontId="2" fillId="0" borderId="0"/>
    <xf numFmtId="165" fontId="10" fillId="0" borderId="0"/>
    <xf numFmtId="165" fontId="10" fillId="0" borderId="0"/>
    <xf numFmtId="165" fontId="12" fillId="2" borderId="6" applyNumberFormat="0">
      <alignment vertical="center"/>
      <protection locked="0"/>
    </xf>
    <xf numFmtId="165" fontId="17" fillId="2" borderId="6" applyFont="0">
      <protection locked="0"/>
    </xf>
    <xf numFmtId="165" fontId="8" fillId="0" borderId="0" applyBorder="0">
      <alignment horizontal="left" vertical="top"/>
    </xf>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1" fillId="0" borderId="0"/>
    <xf numFmtId="165" fontId="1" fillId="0" borderId="0"/>
    <xf numFmtId="165" fontId="1" fillId="0" borderId="0"/>
    <xf numFmtId="165" fontId="1" fillId="0" borderId="0"/>
    <xf numFmtId="165" fontId="1" fillId="0" borderId="0"/>
    <xf numFmtId="165" fontId="1" fillId="0" borderId="0"/>
    <xf numFmtId="165" fontId="2" fillId="0" borderId="0"/>
    <xf numFmtId="165" fontId="1"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1" fillId="0" borderId="0"/>
    <xf numFmtId="165" fontId="2" fillId="0" borderId="0"/>
    <xf numFmtId="165" fontId="2" fillId="0" borderId="0"/>
    <xf numFmtId="165" fontId="1" fillId="0" borderId="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12" fillId="7" borderId="5" applyNumberFormat="0">
      <alignment vertical="center"/>
    </xf>
    <xf numFmtId="165" fontId="12" fillId="8" borderId="5" applyNumberFormat="0">
      <alignment vertical="center"/>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6" fillId="0" borderId="0" applyNumberFormat="0" applyFill="0" applyBorder="0" applyAlignment="0" applyProtection="0">
      <alignment vertical="top"/>
      <protection locked="0"/>
    </xf>
    <xf numFmtId="165" fontId="11" fillId="5" borderId="4" applyNumberFormat="0">
      <alignment vertical="center"/>
    </xf>
    <xf numFmtId="165" fontId="10" fillId="5" borderId="2">
      <alignment horizontal="center"/>
    </xf>
    <xf numFmtId="165" fontId="2" fillId="0" borderId="0"/>
    <xf numFmtId="165" fontId="10" fillId="6" borderId="3" applyNumberFormat="0"/>
    <xf numFmtId="9" fontId="2" fillId="0" borderId="0" applyFont="0" applyFill="0" applyBorder="0" applyAlignment="0" applyProtection="0"/>
    <xf numFmtId="165" fontId="9" fillId="0" borderId="0"/>
    <xf numFmtId="165" fontId="2" fillId="2" borderId="1" applyNumberFormat="0">
      <alignment vertical="center"/>
    </xf>
    <xf numFmtId="165" fontId="2" fillId="0" borderId="0"/>
    <xf numFmtId="165" fontId="2" fillId="0" borderId="0"/>
    <xf numFmtId="165" fontId="2" fillId="0" borderId="0"/>
    <xf numFmtId="165" fontId="2" fillId="0" borderId="0"/>
    <xf numFmtId="165" fontId="2" fillId="0" borderId="0"/>
    <xf numFmtId="165" fontId="2" fillId="0" borderId="0"/>
    <xf numFmtId="165" fontId="6" fillId="0" borderId="0" applyNumberFormat="0" applyFill="0" applyBorder="0" applyAlignment="0" applyProtection="0">
      <alignment vertical="top"/>
      <protection locked="0"/>
    </xf>
    <xf numFmtId="165" fontId="2" fillId="0" borderId="0"/>
    <xf numFmtId="165" fontId="2" fillId="0" borderId="0" applyBorder="0"/>
    <xf numFmtId="165" fontId="2" fillId="0" borderId="0" applyBorder="0"/>
    <xf numFmtId="165" fontId="2" fillId="0" borderId="0"/>
    <xf numFmtId="165" fontId="8" fillId="0" borderId="0" applyBorder="0">
      <alignment horizontal="left" vertical="top"/>
    </xf>
    <xf numFmtId="165" fontId="2" fillId="0" borderId="0"/>
    <xf numFmtId="165" fontId="6" fillId="0" borderId="0" applyNumberFormat="0" applyFill="0" applyBorder="0" applyAlignment="0" applyProtection="0">
      <alignment vertical="top"/>
      <protection locked="0"/>
    </xf>
    <xf numFmtId="165" fontId="2" fillId="0" borderId="0"/>
    <xf numFmtId="165" fontId="2" fillId="0" borderId="0" applyBorder="0"/>
    <xf numFmtId="165" fontId="2" fillId="0" borderId="0" applyBorder="0"/>
    <xf numFmtId="165" fontId="6" fillId="0" borderId="0" applyNumberFormat="0" applyFill="0" applyBorder="0" applyAlignment="0" applyProtection="0">
      <alignment vertical="top"/>
      <protection locked="0"/>
    </xf>
    <xf numFmtId="165" fontId="2" fillId="0" borderId="0"/>
    <xf numFmtId="165" fontId="2" fillId="0" borderId="0"/>
    <xf numFmtId="165" fontId="2" fillId="0" borderId="0"/>
    <xf numFmtId="165" fontId="2" fillId="0" borderId="0"/>
    <xf numFmtId="165" fontId="2"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17" fillId="2" borderId="6" applyFont="0">
      <protection locked="0"/>
    </xf>
    <xf numFmtId="165" fontId="6" fillId="0" borderId="0" applyNumberFormat="0" applyFill="0" applyBorder="0" applyAlignment="0" applyProtection="0">
      <alignment vertical="top"/>
      <protection locked="0"/>
    </xf>
    <xf numFmtId="165" fontId="2" fillId="0" borderId="0" applyBorder="0"/>
    <xf numFmtId="165" fontId="2" fillId="0" borderId="0" applyBorder="0"/>
    <xf numFmtId="165" fontId="6" fillId="0" borderId="0" applyNumberFormat="0" applyFill="0" applyBorder="0" applyAlignment="0" applyProtection="0">
      <alignment vertical="top"/>
      <protection locked="0"/>
    </xf>
    <xf numFmtId="165" fontId="2" fillId="0" borderId="0" applyBorder="0"/>
    <xf numFmtId="165" fontId="2" fillId="0" borderId="0" applyBorder="0"/>
    <xf numFmtId="165" fontId="6" fillId="0" borderId="0" applyNumberFormat="0" applyFill="0" applyBorder="0" applyAlignment="0" applyProtection="0">
      <alignment vertical="top"/>
      <protection locked="0"/>
    </xf>
    <xf numFmtId="165" fontId="2" fillId="0" borderId="0"/>
    <xf numFmtId="165" fontId="1" fillId="0" borderId="0"/>
    <xf numFmtId="165" fontId="2" fillId="0" borderId="0"/>
    <xf numFmtId="165" fontId="1" fillId="0" borderId="0"/>
    <xf numFmtId="165" fontId="1" fillId="0" borderId="0"/>
    <xf numFmtId="165" fontId="2" fillId="0" borderId="0"/>
    <xf numFmtId="165" fontId="1" fillId="0" borderId="0"/>
    <xf numFmtId="165" fontId="2" fillId="0" borderId="0"/>
    <xf numFmtId="165" fontId="2" fillId="0" borderId="0" applyBorder="0"/>
    <xf numFmtId="165" fontId="2" fillId="0" borderId="0" applyBorder="0"/>
    <xf numFmtId="165" fontId="6" fillId="0" borderId="0" applyNumberFormat="0" applyFill="0" applyBorder="0" applyAlignment="0" applyProtection="0">
      <alignment vertical="top"/>
      <protection locked="0"/>
    </xf>
    <xf numFmtId="165" fontId="2" fillId="0" borderId="0" applyBorder="0"/>
    <xf numFmtId="165" fontId="2" fillId="0" borderId="0" applyBorder="0"/>
    <xf numFmtId="165" fontId="6" fillId="0" borderId="0" applyNumberFormat="0" applyFill="0" applyBorder="0" applyAlignment="0" applyProtection="0">
      <alignment vertical="top"/>
      <protection locked="0"/>
    </xf>
    <xf numFmtId="165" fontId="12" fillId="2" borderId="6" applyNumberFormat="0">
      <alignment vertical="center"/>
      <protection locked="0"/>
    </xf>
    <xf numFmtId="165" fontId="10" fillId="0" borderId="0"/>
    <xf numFmtId="165" fontId="10"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applyBorder="0"/>
    <xf numFmtId="165" fontId="2" fillId="0" borderId="0"/>
    <xf numFmtId="9" fontId="2" fillId="0" borderId="0" applyFont="0" applyFill="0" applyBorder="0" applyAlignment="0" applyProtection="0"/>
    <xf numFmtId="165" fontId="2" fillId="0" borderId="0"/>
    <xf numFmtId="165" fontId="2" fillId="0" borderId="0"/>
    <xf numFmtId="165" fontId="2" fillId="0" borderId="0"/>
    <xf numFmtId="165" fontId="2" fillId="0" borderId="0"/>
    <xf numFmtId="165" fontId="2" fillId="0" borderId="0"/>
    <xf numFmtId="165" fontId="6" fillId="0" borderId="0" applyNumberFormat="0" applyFill="0" applyBorder="0" applyAlignment="0" applyProtection="0">
      <alignment vertical="top"/>
      <protection locked="0"/>
    </xf>
    <xf numFmtId="165" fontId="2" fillId="0" borderId="0"/>
    <xf numFmtId="165" fontId="2" fillId="0" borderId="0" applyBorder="0"/>
    <xf numFmtId="165" fontId="2" fillId="0" borderId="0" applyBorder="0"/>
    <xf numFmtId="165" fontId="2" fillId="0" borderId="0"/>
    <xf numFmtId="165" fontId="2" fillId="0" borderId="0"/>
    <xf numFmtId="165" fontId="6" fillId="0" borderId="0" applyNumberFormat="0" applyFill="0" applyBorder="0" applyAlignment="0" applyProtection="0">
      <alignment vertical="top"/>
      <protection locked="0"/>
    </xf>
    <xf numFmtId="165" fontId="2" fillId="0" borderId="0"/>
    <xf numFmtId="165" fontId="2" fillId="0" borderId="0" applyBorder="0"/>
    <xf numFmtId="165" fontId="2" fillId="0" borderId="0" applyBorder="0"/>
    <xf numFmtId="165" fontId="2" fillId="0" borderId="0"/>
    <xf numFmtId="165" fontId="2" fillId="0" borderId="0"/>
    <xf numFmtId="165" fontId="2" fillId="0" borderId="0"/>
    <xf numFmtId="165" fontId="2" fillId="0" borderId="0"/>
    <xf numFmtId="165" fontId="2"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3"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xf numFmtId="165" fontId="2" fillId="0" borderId="0" applyBorder="0"/>
    <xf numFmtId="165" fontId="2" fillId="0" borderId="0" applyBorder="0"/>
    <xf numFmtId="165" fontId="2" fillId="0" borderId="0" applyBorder="0"/>
    <xf numFmtId="165" fontId="2" fillId="0" borderId="0" applyBorder="0"/>
    <xf numFmtId="165" fontId="6" fillId="0" borderId="0" applyNumberFormat="0" applyFill="0" applyBorder="0" applyAlignment="0" applyProtection="0">
      <alignment vertical="top"/>
      <protection locked="0"/>
    </xf>
    <xf numFmtId="165" fontId="2" fillId="0" borderId="0"/>
    <xf numFmtId="165" fontId="1" fillId="0" borderId="0"/>
    <xf numFmtId="165" fontId="2" fillId="0" borderId="0"/>
    <xf numFmtId="165" fontId="1" fillId="0" borderId="0"/>
    <xf numFmtId="165" fontId="1" fillId="0" borderId="0"/>
    <xf numFmtId="165" fontId="2" fillId="0" borderId="0"/>
    <xf numFmtId="165" fontId="1" fillId="0" borderId="0"/>
    <xf numFmtId="165" fontId="2" fillId="0" borderId="0"/>
    <xf numFmtId="165" fontId="2" fillId="0" borderId="0" applyBorder="0"/>
    <xf numFmtId="165" fontId="2" fillId="0" borderId="0" applyBorder="0"/>
    <xf numFmtId="165" fontId="2" fillId="0" borderId="0" applyBorder="0"/>
    <xf numFmtId="165" fontId="2" fillId="0" borderId="0" applyBorder="0"/>
    <xf numFmtId="9" fontId="2" fillId="0" borderId="0" applyFont="0" applyFill="0" applyBorder="0" applyAlignment="0" applyProtection="0"/>
    <xf numFmtId="9" fontId="2" fillId="0" borderId="0" applyFont="0" applyFill="0" applyBorder="0" applyAlignment="0" applyProtection="0"/>
    <xf numFmtId="0" fontId="2" fillId="0" borderId="0" applyBorder="0"/>
    <xf numFmtId="0" fontId="2" fillId="0" borderId="0"/>
    <xf numFmtId="0" fontId="2" fillId="0" borderId="0"/>
    <xf numFmtId="164" fontId="25" fillId="0" borderId="0"/>
    <xf numFmtId="0" fontId="2" fillId="0" borderId="0"/>
    <xf numFmtId="170"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2" fillId="0" borderId="0" applyBorder="0"/>
    <xf numFmtId="0" fontId="2" fillId="0" borderId="0" applyBorder="0"/>
    <xf numFmtId="170" fontId="30" fillId="11" borderId="12">
      <alignment vertical="center"/>
      <protection locked="0"/>
    </xf>
    <xf numFmtId="0" fontId="69" fillId="12" borderId="14" applyNumberFormat="0" applyAlignment="0" applyProtection="0"/>
    <xf numFmtId="0" fontId="70" fillId="0" borderId="15" applyNumberFormat="0" applyFill="0" applyAlignment="0" applyProtection="0"/>
    <xf numFmtId="0" fontId="71" fillId="13" borderId="16" applyNumberFormat="0" applyAlignment="0" applyProtection="0"/>
    <xf numFmtId="0" fontId="5" fillId="0" borderId="0"/>
    <xf numFmtId="170" fontId="30" fillId="0" borderId="24">
      <alignment vertical="center"/>
    </xf>
    <xf numFmtId="0" fontId="5" fillId="0" borderId="0"/>
    <xf numFmtId="0" fontId="2" fillId="0" borderId="0"/>
    <xf numFmtId="0" fontId="29" fillId="0" borderId="0">
      <alignment horizontal="left" wrapText="1"/>
    </xf>
    <xf numFmtId="43" fontId="5" fillId="0" borderId="0" applyFont="0" applyFill="0" applyBorder="0" applyAlignment="0" applyProtection="0"/>
    <xf numFmtId="42" fontId="2" fillId="0" borderId="0" applyFont="0" applyFill="0" applyBorder="0" applyAlignment="0" applyProtection="0"/>
    <xf numFmtId="0" fontId="73" fillId="0" borderId="0">
      <alignment horizontal="left" indent="2"/>
    </xf>
    <xf numFmtId="0" fontId="2" fillId="0" borderId="0">
      <alignment horizontal="left" vertical="top" wrapText="1" indent="2"/>
    </xf>
    <xf numFmtId="49" fontId="26" fillId="0" borderId="0">
      <alignment horizontal="right" vertical="top" indent="1"/>
    </xf>
    <xf numFmtId="0" fontId="2" fillId="0" borderId="0" applyNumberFormat="0" applyFont="0" applyFill="0" applyBorder="0" applyAlignment="0">
      <alignment horizontal="left" vertical="top" wrapText="1"/>
    </xf>
    <xf numFmtId="0" fontId="43" fillId="0" borderId="0">
      <alignment horizontal="left" vertical="center"/>
    </xf>
    <xf numFmtId="0" fontId="24" fillId="0" borderId="0" applyBorder="0">
      <alignment horizontal="left" vertical="center" wrapText="1"/>
    </xf>
    <xf numFmtId="0" fontId="2" fillId="7" borderId="20">
      <alignment horizontal="left" vertical="center" wrapText="1"/>
      <protection locked="0"/>
    </xf>
    <xf numFmtId="9" fontId="1" fillId="0" borderId="0" applyFont="0" applyFill="0" applyBorder="0" applyAlignment="0" applyProtection="0"/>
    <xf numFmtId="0" fontId="5" fillId="0" borderId="0"/>
    <xf numFmtId="0" fontId="1" fillId="0" borderId="0"/>
    <xf numFmtId="43" fontId="5" fillId="0" borderId="0" applyFont="0" applyFill="0" applyBorder="0" applyAlignment="0" applyProtection="0"/>
    <xf numFmtId="170" fontId="2" fillId="16" borderId="17">
      <alignment vertical="center"/>
    </xf>
    <xf numFmtId="170" fontId="50" fillId="0" borderId="18">
      <alignment horizontal="right" vertical="center"/>
    </xf>
    <xf numFmtId="49" fontId="72" fillId="14" borderId="22">
      <alignment horizontal="center"/>
    </xf>
    <xf numFmtId="49" fontId="72" fillId="14" borderId="12">
      <alignment horizontal="center" vertical="center"/>
    </xf>
    <xf numFmtId="170" fontId="30" fillId="15" borderId="24">
      <alignment vertical="center"/>
      <protection locked="0"/>
    </xf>
    <xf numFmtId="0" fontId="64" fillId="0" borderId="0">
      <alignment horizontal="left" vertical="center"/>
    </xf>
    <xf numFmtId="170" fontId="30" fillId="17" borderId="23">
      <alignment horizontal="right" vertical="center"/>
      <protection locked="0"/>
    </xf>
    <xf numFmtId="170" fontId="50" fillId="0" borderId="24">
      <alignment horizontal="right" vertical="center"/>
    </xf>
    <xf numFmtId="0" fontId="74" fillId="0" borderId="0">
      <alignment horizontal="left" indent="1"/>
    </xf>
    <xf numFmtId="0" fontId="29" fillId="0" borderId="25">
      <alignment horizontal="left" vertical="center" wrapText="1" indent="2"/>
    </xf>
    <xf numFmtId="0" fontId="4" fillId="0" borderId="25">
      <alignment horizontal="left" wrapText="1" indent="1"/>
    </xf>
    <xf numFmtId="0" fontId="75" fillId="0" borderId="0" applyNumberFormat="0" applyFill="0" applyBorder="0" applyAlignment="0" applyProtection="0">
      <alignment vertical="top"/>
      <protection locked="0"/>
    </xf>
    <xf numFmtId="43" fontId="5"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29" fillId="0" borderId="25">
      <alignment horizontal="left" vertical="center" wrapText="1" indent="1"/>
    </xf>
    <xf numFmtId="0" fontId="2" fillId="7" borderId="0">
      <alignment vertical="top" wrapText="1"/>
      <protection locked="0"/>
    </xf>
    <xf numFmtId="42" fontId="2" fillId="0" borderId="0" applyFont="0" applyFill="0" applyBorder="0" applyAlignment="0" applyProtection="0"/>
    <xf numFmtId="0" fontId="76" fillId="0" borderId="0">
      <alignment horizontal="left" vertical="top"/>
    </xf>
    <xf numFmtId="0" fontId="77" fillId="0" borderId="0">
      <alignment horizontal="left" indent="1"/>
    </xf>
    <xf numFmtId="0" fontId="78" fillId="0" borderId="0">
      <alignment horizontal="left" indent="2"/>
    </xf>
    <xf numFmtId="0" fontId="26" fillId="0" borderId="0">
      <alignment vertical="top"/>
    </xf>
    <xf numFmtId="0" fontId="4" fillId="0" borderId="25">
      <alignment horizontal="left" wrapText="1" indent="1"/>
    </xf>
    <xf numFmtId="0" fontId="2" fillId="0" borderId="26" applyBorder="0">
      <alignment horizontal="right" vertical="center" wrapText="1"/>
    </xf>
    <xf numFmtId="0" fontId="43" fillId="0" borderId="0">
      <alignment horizontal="left" vertical="center"/>
    </xf>
    <xf numFmtId="0" fontId="4" fillId="0" borderId="0">
      <alignment horizontal="left" vertical="center" wrapText="1"/>
    </xf>
    <xf numFmtId="0" fontId="4" fillId="0" borderId="25">
      <alignment horizontal="left" wrapText="1" indent="1"/>
    </xf>
    <xf numFmtId="0" fontId="4" fillId="0" borderId="25">
      <alignment horizontal="left" wrapText="1" indent="1"/>
    </xf>
    <xf numFmtId="49" fontId="4" fillId="0" borderId="0">
      <alignment horizontal="right" vertical="top"/>
    </xf>
    <xf numFmtId="0" fontId="4" fillId="0" borderId="0">
      <alignment horizontal="left" vertical="top" wrapText="1"/>
    </xf>
    <xf numFmtId="0" fontId="24" fillId="0" borderId="25">
      <alignment horizontal="left" vertical="center" wrapText="1" indent="1"/>
    </xf>
    <xf numFmtId="0" fontId="29" fillId="7" borderId="20">
      <alignment horizontal="left" vertical="center" wrapText="1"/>
      <protection locked="0"/>
    </xf>
    <xf numFmtId="182" fontId="24" fillId="0" borderId="21" applyFill="0" applyBorder="0">
      <alignment vertical="top"/>
    </xf>
    <xf numFmtId="165" fontId="6" fillId="0" borderId="0" applyNumberFormat="0" applyFill="0" applyBorder="0" applyAlignment="0" applyProtection="0">
      <alignment vertical="top"/>
      <protection locked="0"/>
    </xf>
    <xf numFmtId="9" fontId="1" fillId="0" borderId="0" applyFont="0" applyFill="0" applyBorder="0" applyAlignment="0" applyProtection="0"/>
    <xf numFmtId="9" fontId="1" fillId="0" borderId="0" applyFont="0" applyFill="0" applyBorder="0" applyAlignment="0" applyProtection="0"/>
    <xf numFmtId="43" fontId="5"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69" fillId="12" borderId="14" applyNumberFormat="0" applyAlignment="0" applyProtection="0"/>
    <xf numFmtId="0" fontId="70" fillId="0" borderId="15" applyNumberFormat="0" applyFill="0" applyAlignment="0" applyProtection="0"/>
    <xf numFmtId="0" fontId="71" fillId="13" borderId="16"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69" fillId="12" borderId="14" applyNumberFormat="0" applyAlignment="0" applyProtection="0"/>
    <xf numFmtId="9" fontId="1" fillId="0" borderId="0" applyFont="0" applyFill="0" applyBorder="0" applyAlignment="0" applyProtection="0"/>
    <xf numFmtId="0" fontId="69" fillId="12" borderId="14" applyNumberFormat="0" applyAlignment="0" applyProtection="0"/>
    <xf numFmtId="0" fontId="70" fillId="0" borderId="15" applyNumberFormat="0" applyFill="0" applyAlignment="0" applyProtection="0"/>
    <xf numFmtId="0" fontId="71" fillId="13" borderId="16" applyNumberFormat="0" applyAlignment="0" applyProtection="0"/>
    <xf numFmtId="0" fontId="71" fillId="13" borderId="16" applyNumberFormat="0" applyAlignment="0" applyProtection="0"/>
    <xf numFmtId="0" fontId="70" fillId="0" borderId="15" applyNumberFormat="0" applyFill="0" applyAlignment="0" applyProtection="0"/>
    <xf numFmtId="9" fontId="1" fillId="0" borderId="0" applyFont="0" applyFill="0" applyBorder="0" applyAlignment="0" applyProtection="0"/>
    <xf numFmtId="9" fontId="1" fillId="0" borderId="0" applyFont="0" applyFill="0" applyBorder="0" applyAlignment="0" applyProtection="0"/>
    <xf numFmtId="0" fontId="5" fillId="11" borderId="12">
      <alignment horizontal="center" vertical="center" wrapText="1"/>
      <protection locked="0"/>
    </xf>
    <xf numFmtId="0" fontId="1" fillId="0" borderId="0"/>
    <xf numFmtId="0" fontId="5" fillId="0" borderId="0"/>
    <xf numFmtId="0" fontId="29" fillId="15" borderId="20">
      <alignment horizontal="left" vertical="center" wrapText="1"/>
      <protection locked="0"/>
    </xf>
    <xf numFmtId="0" fontId="1" fillId="0" borderId="0"/>
    <xf numFmtId="9" fontId="1" fillId="0" borderId="0" applyFont="0" applyFill="0" applyBorder="0" applyAlignment="0" applyProtection="0"/>
    <xf numFmtId="49" fontId="72" fillId="14" borderId="29">
      <alignment horizontal="center"/>
    </xf>
    <xf numFmtId="170" fontId="50" fillId="0" borderId="27">
      <alignment horizontal="right" vertical="center"/>
    </xf>
    <xf numFmtId="170" fontId="30" fillId="11" borderId="27">
      <alignment vertical="center"/>
      <protection locked="0"/>
    </xf>
    <xf numFmtId="170" fontId="30" fillId="0" borderId="27">
      <alignment vertical="center"/>
    </xf>
    <xf numFmtId="170" fontId="30" fillId="15" borderId="27">
      <alignment vertical="center"/>
      <protection locked="0"/>
    </xf>
    <xf numFmtId="170" fontId="50" fillId="0" borderId="18">
      <alignment horizontal="right" vertical="center"/>
    </xf>
    <xf numFmtId="49" fontId="72" fillId="14" borderId="27">
      <alignment horizontal="center" vertical="center"/>
    </xf>
    <xf numFmtId="170" fontId="2" fillId="16" borderId="28">
      <alignment vertical="center"/>
    </xf>
    <xf numFmtId="170" fontId="50" fillId="0" borderId="19">
      <alignment horizontal="right" vertical="center"/>
    </xf>
    <xf numFmtId="170" fontId="30" fillId="11" borderId="19">
      <alignment vertical="center"/>
      <protection locked="0"/>
    </xf>
    <xf numFmtId="170" fontId="30" fillId="0" borderId="19">
      <alignment vertical="center"/>
    </xf>
    <xf numFmtId="170" fontId="30" fillId="15" borderId="19">
      <alignment vertical="center"/>
      <protection locked="0"/>
    </xf>
    <xf numFmtId="49" fontId="72" fillId="14" borderId="19">
      <alignment horizontal="center" vertical="center"/>
    </xf>
    <xf numFmtId="170" fontId="2" fillId="16" borderId="28">
      <alignment vertical="center"/>
    </xf>
    <xf numFmtId="0" fontId="1" fillId="0" borderId="0"/>
    <xf numFmtId="49" fontId="72" fillId="14" borderId="31">
      <alignment horizontal="center"/>
    </xf>
    <xf numFmtId="170" fontId="30" fillId="17" borderId="30">
      <alignment horizontal="right" vertical="center"/>
      <protection locked="0"/>
    </xf>
    <xf numFmtId="0" fontId="69" fillId="12" borderId="14" applyNumberFormat="0" applyAlignment="0" applyProtection="0"/>
    <xf numFmtId="0" fontId="70" fillId="0" borderId="15" applyNumberFormat="0" applyFill="0" applyAlignment="0" applyProtection="0"/>
    <xf numFmtId="0" fontId="71" fillId="13" borderId="16" applyNumberFormat="0" applyAlignment="0" applyProtection="0"/>
    <xf numFmtId="0" fontId="69" fillId="12" borderId="14" applyNumberFormat="0" applyAlignment="0" applyProtection="0"/>
    <xf numFmtId="0" fontId="70" fillId="0" borderId="15" applyNumberFormat="0" applyFill="0" applyAlignment="0" applyProtection="0"/>
    <xf numFmtId="0" fontId="71" fillId="13" borderId="16" applyNumberFormat="0" applyAlignment="0" applyProtection="0"/>
    <xf numFmtId="0" fontId="69" fillId="12" borderId="14" applyNumberFormat="0" applyAlignment="0" applyProtection="0"/>
    <xf numFmtId="0" fontId="69" fillId="12" borderId="14" applyNumberFormat="0" applyAlignment="0" applyProtection="0"/>
    <xf numFmtId="0" fontId="70" fillId="0" borderId="15" applyNumberFormat="0" applyFill="0" applyAlignment="0" applyProtection="0"/>
    <xf numFmtId="0" fontId="71" fillId="13" borderId="16" applyNumberFormat="0" applyAlignment="0" applyProtection="0"/>
    <xf numFmtId="0" fontId="71" fillId="13" borderId="16" applyNumberFormat="0" applyAlignment="0" applyProtection="0"/>
    <xf numFmtId="0" fontId="70" fillId="0" borderId="15" applyNumberFormat="0" applyFill="0" applyAlignment="0" applyProtection="0"/>
    <xf numFmtId="0" fontId="5" fillId="11" borderId="27">
      <alignment horizontal="center" vertical="center" wrapText="1"/>
      <protection locked="0"/>
    </xf>
    <xf numFmtId="49" fontId="72" fillId="14" borderId="34">
      <alignment horizontal="center"/>
    </xf>
    <xf numFmtId="170" fontId="50" fillId="0" borderId="32">
      <alignment horizontal="right" vertical="center"/>
    </xf>
    <xf numFmtId="170" fontId="30" fillId="11" borderId="32">
      <alignment vertical="center"/>
      <protection locked="0"/>
    </xf>
    <xf numFmtId="170" fontId="30" fillId="0" borderId="32">
      <alignment vertical="center"/>
    </xf>
    <xf numFmtId="170" fontId="30" fillId="15" borderId="32">
      <alignment vertical="center"/>
      <protection locked="0"/>
    </xf>
    <xf numFmtId="49" fontId="72" fillId="14" borderId="32">
      <alignment horizontal="center" vertical="center"/>
    </xf>
    <xf numFmtId="170" fontId="2" fillId="16" borderId="33">
      <alignment vertical="center"/>
    </xf>
    <xf numFmtId="170" fontId="50" fillId="0" borderId="24">
      <alignment horizontal="right" vertical="center"/>
    </xf>
    <xf numFmtId="170" fontId="30" fillId="11" borderId="24">
      <alignment vertical="center"/>
      <protection locked="0"/>
    </xf>
    <xf numFmtId="170" fontId="30" fillId="0" borderId="24">
      <alignment vertical="center"/>
    </xf>
    <xf numFmtId="170" fontId="30" fillId="15" borderId="24">
      <alignment vertical="center"/>
      <protection locked="0"/>
    </xf>
    <xf numFmtId="49" fontId="72" fillId="14" borderId="24">
      <alignment horizontal="center" vertical="center"/>
    </xf>
    <xf numFmtId="170" fontId="2" fillId="16" borderId="33">
      <alignment vertical="center"/>
    </xf>
  </cellStyleXfs>
  <cellXfs count="692">
    <xf numFmtId="0" fontId="0" fillId="0" borderId="0" xfId="0"/>
    <xf numFmtId="0" fontId="21" fillId="0" borderId="0" xfId="0" applyFont="1"/>
    <xf numFmtId="0" fontId="22" fillId="0" borderId="0" xfId="0" applyFont="1"/>
    <xf numFmtId="169" fontId="21" fillId="0" borderId="0" xfId="0" applyNumberFormat="1" applyFont="1" applyAlignment="1">
      <alignment horizontal="left"/>
    </xf>
    <xf numFmtId="0" fontId="23" fillId="0" borderId="0" xfId="0" applyFont="1"/>
    <xf numFmtId="0" fontId="27" fillId="0" borderId="0" xfId="0" applyFont="1"/>
    <xf numFmtId="169" fontId="21" fillId="0" borderId="0" xfId="0" applyNumberFormat="1" applyFont="1" applyAlignment="1">
      <alignment horizontal="center"/>
    </xf>
    <xf numFmtId="172" fontId="21" fillId="0" borderId="0" xfId="0" applyNumberFormat="1" applyFont="1"/>
    <xf numFmtId="169" fontId="26" fillId="0" borderId="0" xfId="604" applyNumberFormat="1" applyFont="1" applyFill="1" applyBorder="1" applyAlignment="1">
      <alignment horizontal="right" wrapText="1"/>
    </xf>
    <xf numFmtId="169" fontId="27" fillId="0" borderId="0" xfId="0" applyNumberFormat="1" applyFont="1" applyAlignment="1">
      <alignment horizontal="right"/>
    </xf>
    <xf numFmtId="0" fontId="0" fillId="0" borderId="10" xfId="0" applyBorder="1"/>
    <xf numFmtId="164" fontId="2" fillId="0" borderId="0" xfId="604" applyNumberFormat="1" applyFont="1" applyFill="1" applyBorder="1"/>
    <xf numFmtId="171" fontId="4" fillId="0" borderId="0" xfId="604" applyNumberFormat="1" applyFont="1" applyFill="1" applyBorder="1" applyAlignment="1">
      <alignment horizontal="right"/>
    </xf>
    <xf numFmtId="0" fontId="40" fillId="0" borderId="0" xfId="0" applyFont="1" applyFill="1"/>
    <xf numFmtId="0" fontId="39" fillId="0" borderId="0" xfId="0" applyFont="1" applyFill="1"/>
    <xf numFmtId="0" fontId="23" fillId="0" borderId="0" xfId="0" applyFont="1" applyAlignment="1">
      <alignment horizontal="center"/>
    </xf>
    <xf numFmtId="0" fontId="27" fillId="0" borderId="0" xfId="0" applyFont="1" applyAlignment="1">
      <alignment horizontal="center"/>
    </xf>
    <xf numFmtId="169" fontId="27" fillId="0" borderId="0" xfId="0" applyNumberFormat="1" applyFont="1" applyAlignment="1">
      <alignment horizontal="center"/>
    </xf>
    <xf numFmtId="170" fontId="39" fillId="0" borderId="0" xfId="606" applyFont="1" applyFill="1"/>
    <xf numFmtId="0" fontId="40" fillId="0" borderId="10" xfId="0" applyFont="1" applyFill="1" applyBorder="1"/>
    <xf numFmtId="0" fontId="40" fillId="0" borderId="0" xfId="0" applyFont="1" applyFill="1" applyAlignment="1">
      <alignment horizontal="left"/>
    </xf>
    <xf numFmtId="0" fontId="27" fillId="0" borderId="0" xfId="0" applyFont="1" applyAlignment="1">
      <alignment horizontal="center" vertical="center"/>
    </xf>
    <xf numFmtId="170" fontId="26" fillId="0" borderId="0" xfId="606" applyFont="1" applyFill="1" applyBorder="1" applyAlignment="1">
      <alignment horizontal="right"/>
    </xf>
    <xf numFmtId="170" fontId="26" fillId="0" borderId="8" xfId="606" applyFont="1" applyFill="1" applyBorder="1" applyAlignment="1">
      <alignment horizontal="right"/>
    </xf>
    <xf numFmtId="170" fontId="26" fillId="0" borderId="7" xfId="606" applyFont="1" applyFill="1" applyBorder="1" applyAlignment="1">
      <alignment horizontal="right"/>
    </xf>
    <xf numFmtId="171" fontId="3" fillId="0" borderId="0" xfId="0" applyNumberFormat="1" applyFont="1" applyFill="1"/>
    <xf numFmtId="171" fontId="24" fillId="0" borderId="0" xfId="0" applyNumberFormat="1" applyFont="1" applyFill="1"/>
    <xf numFmtId="0" fontId="23" fillId="0" borderId="10" xfId="0" applyFont="1" applyBorder="1" applyAlignment="1">
      <alignment horizontal="center"/>
    </xf>
    <xf numFmtId="171" fontId="26" fillId="0" borderId="0" xfId="0" applyNumberFormat="1" applyFont="1" applyFill="1" applyAlignment="1">
      <alignment horizontal="center"/>
    </xf>
    <xf numFmtId="0" fontId="39" fillId="0" borderId="0" xfId="0" applyFont="1" applyFill="1" applyAlignment="1">
      <alignment horizontal="left"/>
    </xf>
    <xf numFmtId="49" fontId="21" fillId="0" borderId="0" xfId="0" applyNumberFormat="1" applyFont="1" applyAlignment="1">
      <alignment horizontal="left"/>
    </xf>
    <xf numFmtId="173" fontId="2" fillId="0" borderId="0" xfId="604" applyNumberFormat="1" applyFont="1" applyFill="1" applyBorder="1" applyAlignment="1"/>
    <xf numFmtId="164" fontId="26" fillId="0" borderId="0" xfId="604" applyNumberFormat="1" applyFont="1" applyFill="1" applyBorder="1" applyAlignment="1">
      <alignment horizontal="left"/>
    </xf>
    <xf numFmtId="164" fontId="26" fillId="0" borderId="0" xfId="604" applyNumberFormat="1" applyFont="1" applyFill="1" applyBorder="1"/>
    <xf numFmtId="173" fontId="24" fillId="0" borderId="0" xfId="604" applyNumberFormat="1" applyFont="1" applyFill="1" applyBorder="1" applyAlignment="1">
      <alignment horizontal="justify" vertical="justify"/>
    </xf>
    <xf numFmtId="173" fontId="4" fillId="0" borderId="0" xfId="604" applyNumberFormat="1" applyFont="1" applyFill="1" applyBorder="1" applyAlignment="1">
      <alignment horizontal="left"/>
    </xf>
    <xf numFmtId="164" fontId="4" fillId="0" borderId="0" xfId="604" applyNumberFormat="1" applyFont="1" applyFill="1" applyBorder="1"/>
    <xf numFmtId="173" fontId="24" fillId="0" borderId="0" xfId="604" applyNumberFormat="1" applyFont="1" applyFill="1" applyBorder="1" applyAlignment="1">
      <alignment horizontal="left"/>
    </xf>
    <xf numFmtId="173" fontId="2" fillId="0" borderId="0" xfId="604" applyNumberFormat="1" applyFont="1" applyFill="1" applyBorder="1"/>
    <xf numFmtId="0" fontId="30" fillId="0" borderId="0" xfId="0" applyFont="1" applyFill="1" applyBorder="1" applyAlignment="1">
      <alignment horizontal="justify" vertical="justify" wrapText="1"/>
    </xf>
    <xf numFmtId="164" fontId="24" fillId="0" borderId="0" xfId="0" applyNumberFormat="1" applyFont="1" applyFill="1" applyBorder="1"/>
    <xf numFmtId="0" fontId="30" fillId="0" borderId="0" xfId="0" applyFont="1" applyFill="1" applyBorder="1" applyAlignment="1">
      <alignment horizontal="justify" wrapText="1"/>
    </xf>
    <xf numFmtId="170" fontId="45" fillId="0" borderId="0" xfId="606" applyFont="1" applyFill="1" applyBorder="1"/>
    <xf numFmtId="170" fontId="46" fillId="0" borderId="0" xfId="606" applyFont="1" applyFill="1"/>
    <xf numFmtId="170" fontId="45" fillId="0" borderId="0" xfId="606" applyFont="1" applyFill="1"/>
    <xf numFmtId="170" fontId="45" fillId="0" borderId="9" xfId="606" applyFont="1" applyFill="1" applyBorder="1"/>
    <xf numFmtId="0" fontId="45" fillId="0" borderId="0" xfId="0" applyFont="1" applyFill="1"/>
    <xf numFmtId="164" fontId="2" fillId="0" borderId="0" xfId="0" applyNumberFormat="1" applyFont="1" applyFill="1" applyBorder="1" applyAlignment="1">
      <alignment horizontal="justify" wrapText="1"/>
    </xf>
    <xf numFmtId="0" fontId="39" fillId="0" borderId="0" xfId="0" applyFont="1" applyFill="1" applyAlignment="1">
      <alignment horizontal="right" wrapText="1"/>
    </xf>
    <xf numFmtId="0" fontId="0" fillId="0" borderId="0" xfId="0" applyFill="1"/>
    <xf numFmtId="0" fontId="0" fillId="0" borderId="10" xfId="0" applyFill="1" applyBorder="1"/>
    <xf numFmtId="169" fontId="21" fillId="0" borderId="0" xfId="0" applyNumberFormat="1" applyFont="1" applyFill="1" applyAlignment="1">
      <alignment horizontal="center"/>
    </xf>
    <xf numFmtId="170" fontId="21" fillId="0" borderId="0" xfId="606" applyFont="1" applyFill="1"/>
    <xf numFmtId="170" fontId="0" fillId="0" borderId="0" xfId="606" applyFont="1" applyFill="1"/>
    <xf numFmtId="170" fontId="27" fillId="0" borderId="0" xfId="606" applyFont="1" applyFill="1"/>
    <xf numFmtId="170" fontId="26" fillId="0" borderId="9" xfId="606" applyFont="1" applyFill="1" applyBorder="1" applyAlignment="1">
      <alignment horizontal="right"/>
    </xf>
    <xf numFmtId="172" fontId="21" fillId="0" borderId="0" xfId="0" applyNumberFormat="1" applyFont="1" applyFill="1"/>
    <xf numFmtId="170" fontId="46" fillId="0" borderId="9" xfId="606" applyFont="1" applyFill="1" applyBorder="1"/>
    <xf numFmtId="0" fontId="40" fillId="0" borderId="10" xfId="0" applyFont="1" applyFill="1" applyBorder="1" applyAlignment="1">
      <alignment horizontal="left"/>
    </xf>
    <xf numFmtId="169" fontId="39" fillId="0" borderId="0" xfId="0" applyNumberFormat="1" applyFont="1" applyFill="1"/>
    <xf numFmtId="169" fontId="40" fillId="0" borderId="0" xfId="0" applyNumberFormat="1" applyFont="1" applyFill="1"/>
    <xf numFmtId="0" fontId="30" fillId="0" borderId="0" xfId="0" applyFont="1" applyFill="1" applyBorder="1" applyAlignment="1">
      <alignment horizontal="justify" vertical="top"/>
    </xf>
    <xf numFmtId="0" fontId="0" fillId="0" borderId="0" xfId="0" applyFill="1" applyBorder="1"/>
    <xf numFmtId="164" fontId="2" fillId="0" borderId="0" xfId="0" applyNumberFormat="1" applyFont="1" applyFill="1" applyBorder="1"/>
    <xf numFmtId="164" fontId="3" fillId="0" borderId="0" xfId="0" applyNumberFormat="1" applyFont="1" applyFill="1" applyBorder="1"/>
    <xf numFmtId="164" fontId="2" fillId="0" borderId="0" xfId="0" applyNumberFormat="1" applyFont="1" applyFill="1" applyBorder="1" applyAlignment="1">
      <alignment horizontal="justify" vertical="justify"/>
    </xf>
    <xf numFmtId="164" fontId="29" fillId="0" borderId="0" xfId="0" applyNumberFormat="1" applyFont="1" applyFill="1" applyBorder="1"/>
    <xf numFmtId="164" fontId="2" fillId="0" borderId="0" xfId="0" applyNumberFormat="1" applyFont="1" applyFill="1" applyBorder="1" applyAlignment="1">
      <alignment vertical="top"/>
    </xf>
    <xf numFmtId="0" fontId="31" fillId="0" borderId="0" xfId="0" applyFont="1" applyFill="1" applyBorder="1" applyAlignment="1">
      <alignment horizontal="justify" wrapText="1"/>
    </xf>
    <xf numFmtId="0" fontId="32" fillId="0" borderId="0" xfId="0" applyFont="1" applyFill="1" applyBorder="1" applyAlignment="1">
      <alignment wrapText="1"/>
    </xf>
    <xf numFmtId="173" fontId="2" fillId="0" borderId="0" xfId="0" applyNumberFormat="1" applyFont="1" applyFill="1" applyBorder="1" applyAlignment="1"/>
    <xf numFmtId="173" fontId="24" fillId="0" borderId="0" xfId="0" applyNumberFormat="1" applyFont="1" applyFill="1" applyBorder="1" applyAlignment="1"/>
    <xf numFmtId="0" fontId="24" fillId="0" borderId="0" xfId="0" applyFont="1" applyFill="1" applyBorder="1" applyAlignment="1">
      <alignment wrapText="1"/>
    </xf>
    <xf numFmtId="164" fontId="2" fillId="0" borderId="0" xfId="0" applyNumberFormat="1" applyFont="1" applyFill="1" applyBorder="1" applyAlignment="1">
      <alignment wrapText="1"/>
    </xf>
    <xf numFmtId="164" fontId="24" fillId="0" borderId="0" xfId="0" applyNumberFormat="1" applyFont="1" applyFill="1" applyBorder="1" applyAlignment="1">
      <alignment wrapText="1"/>
    </xf>
    <xf numFmtId="164" fontId="33" fillId="0" borderId="0" xfId="0" applyNumberFormat="1" applyFont="1" applyFill="1" applyBorder="1" applyAlignment="1">
      <alignment horizontal="left"/>
    </xf>
    <xf numFmtId="0" fontId="33" fillId="0" borderId="0" xfId="0" applyFont="1" applyFill="1" applyBorder="1"/>
    <xf numFmtId="173" fontId="2" fillId="0" borderId="0" xfId="0" applyNumberFormat="1" applyFont="1" applyFill="1" applyBorder="1"/>
    <xf numFmtId="0" fontId="24" fillId="0" borderId="0" xfId="0" applyFont="1" applyFill="1" applyBorder="1"/>
    <xf numFmtId="0" fontId="30" fillId="0" borderId="0" xfId="0" applyNumberFormat="1" applyFont="1" applyFill="1" applyBorder="1" applyAlignment="1">
      <alignment horizontal="justify" vertical="center" wrapText="1"/>
    </xf>
    <xf numFmtId="0" fontId="30" fillId="0" borderId="0" xfId="0" applyFont="1" applyFill="1" applyBorder="1" applyAlignment="1">
      <alignment horizontal="justify"/>
    </xf>
    <xf numFmtId="164" fontId="33" fillId="0" borderId="0" xfId="0" applyNumberFormat="1" applyFont="1" applyFill="1" applyBorder="1" applyAlignment="1">
      <alignment wrapText="1"/>
    </xf>
    <xf numFmtId="173" fontId="24" fillId="0" borderId="0" xfId="604" applyNumberFormat="1" applyFont="1" applyFill="1" applyBorder="1" applyAlignment="1"/>
    <xf numFmtId="0" fontId="32" fillId="0" borderId="0" xfId="0" applyFont="1" applyFill="1" applyBorder="1"/>
    <xf numFmtId="173" fontId="34" fillId="0" borderId="0" xfId="0" applyNumberFormat="1" applyFont="1" applyFill="1" applyBorder="1" applyAlignment="1"/>
    <xf numFmtId="164" fontId="34" fillId="0" borderId="0" xfId="0" applyNumberFormat="1" applyFont="1" applyFill="1" applyBorder="1"/>
    <xf numFmtId="173" fontId="24" fillId="0" borderId="0" xfId="0" applyNumberFormat="1" applyFont="1" applyFill="1" applyBorder="1" applyAlignment="1">
      <alignment horizontal="left"/>
    </xf>
    <xf numFmtId="0" fontId="2" fillId="0" borderId="0" xfId="0" applyFont="1" applyFill="1" applyBorder="1"/>
    <xf numFmtId="0" fontId="34" fillId="0" borderId="0" xfId="0" applyFont="1" applyFill="1" applyBorder="1"/>
    <xf numFmtId="173" fontId="24" fillId="0" borderId="0" xfId="604" applyNumberFormat="1" applyFont="1" applyFill="1" applyBorder="1" applyAlignment="1">
      <alignment horizontal="left" vertical="top"/>
    </xf>
    <xf numFmtId="0" fontId="35" fillId="0" borderId="0" xfId="0" applyFont="1" applyFill="1" applyBorder="1" applyAlignment="1">
      <alignment horizontal="justify"/>
    </xf>
    <xf numFmtId="0" fontId="32" fillId="0" borderId="0" xfId="0" applyFont="1" applyFill="1" applyBorder="1" applyAlignment="1">
      <alignment horizontal="justify"/>
    </xf>
    <xf numFmtId="164" fontId="33" fillId="0" borderId="0" xfId="0" applyNumberFormat="1" applyFont="1" applyFill="1" applyBorder="1" applyAlignment="1">
      <alignment horizontal="justify"/>
    </xf>
    <xf numFmtId="0" fontId="36" fillId="0" borderId="0" xfId="0" applyFont="1" applyFill="1" applyBorder="1" applyAlignment="1">
      <alignment wrapText="1"/>
    </xf>
    <xf numFmtId="173" fontId="2" fillId="0" borderId="0" xfId="604" applyNumberFormat="1" applyFont="1" applyFill="1" applyBorder="1" applyAlignment="1">
      <alignment wrapText="1"/>
    </xf>
    <xf numFmtId="0" fontId="31" fillId="0" borderId="0" xfId="0" applyFont="1" applyFill="1" applyBorder="1" applyAlignment="1">
      <alignment horizontal="justify"/>
    </xf>
    <xf numFmtId="0" fontId="2" fillId="0" borderId="0" xfId="0" applyFont="1" applyFill="1" applyBorder="1" applyAlignment="1">
      <alignment wrapText="1"/>
    </xf>
    <xf numFmtId="0" fontId="2" fillId="0" borderId="0" xfId="0" applyFont="1" applyFill="1" applyBorder="1" applyAlignment="1">
      <alignment horizontal="justify" wrapText="1"/>
    </xf>
    <xf numFmtId="174" fontId="4" fillId="0" borderId="0" xfId="604" applyNumberFormat="1" applyFont="1" applyFill="1" applyBorder="1" applyAlignment="1">
      <alignment horizontal="left"/>
    </xf>
    <xf numFmtId="174" fontId="2" fillId="0" borderId="0" xfId="0" applyNumberFormat="1" applyFont="1" applyFill="1" applyBorder="1"/>
    <xf numFmtId="0" fontId="0" fillId="0" borderId="0" xfId="0" applyNumberFormat="1" applyFill="1" applyBorder="1" applyAlignment="1">
      <alignment wrapText="1"/>
    </xf>
    <xf numFmtId="0" fontId="45" fillId="0" borderId="0" xfId="0" applyFont="1" applyFill="1" applyBorder="1" applyAlignment="1">
      <alignment wrapText="1"/>
    </xf>
    <xf numFmtId="174" fontId="24" fillId="0" borderId="0" xfId="604" applyNumberFormat="1" applyFont="1" applyFill="1" applyBorder="1" applyAlignment="1">
      <alignment horizontal="left" vertical="top"/>
    </xf>
    <xf numFmtId="174" fontId="24" fillId="0" borderId="0" xfId="604" applyNumberFormat="1" applyFont="1" applyFill="1" applyBorder="1" applyAlignment="1">
      <alignment horizontal="left"/>
    </xf>
    <xf numFmtId="174" fontId="24" fillId="0" borderId="0" xfId="604" applyNumberFormat="1" applyFont="1" applyFill="1" applyBorder="1"/>
    <xf numFmtId="174" fontId="2" fillId="0" borderId="0" xfId="604" applyNumberFormat="1" applyFont="1" applyFill="1" applyBorder="1"/>
    <xf numFmtId="174" fontId="2" fillId="0" borderId="0" xfId="604" applyNumberFormat="1" applyFont="1" applyFill="1" applyBorder="1" applyAlignment="1">
      <alignment wrapText="1"/>
    </xf>
    <xf numFmtId="0" fontId="38" fillId="0" borderId="0" xfId="0" applyFont="1" applyFill="1" applyBorder="1"/>
    <xf numFmtId="174" fontId="24" fillId="0" borderId="0" xfId="0" applyNumberFormat="1" applyFont="1" applyFill="1" applyBorder="1" applyAlignment="1">
      <alignment horizontal="left"/>
    </xf>
    <xf numFmtId="0" fontId="30" fillId="0" borderId="0" xfId="0" applyNumberFormat="1" applyFont="1" applyFill="1" applyBorder="1" applyAlignment="1">
      <alignment horizontal="justify" wrapText="1"/>
    </xf>
    <xf numFmtId="0" fontId="30" fillId="0" borderId="0" xfId="0" applyNumberFormat="1" applyFont="1" applyFill="1" applyBorder="1" applyAlignment="1">
      <alignment horizontal="justify"/>
    </xf>
    <xf numFmtId="174" fontId="2" fillId="0" borderId="0" xfId="604" applyNumberFormat="1" applyFont="1" applyFill="1" applyBorder="1" applyAlignment="1">
      <alignment vertical="top"/>
    </xf>
    <xf numFmtId="169" fontId="27" fillId="0" borderId="0" xfId="0" applyNumberFormat="1" applyFont="1" applyAlignment="1">
      <alignment horizontal="center"/>
    </xf>
    <xf numFmtId="164" fontId="26" fillId="0" borderId="0" xfId="604" applyNumberFormat="1" applyFont="1" applyFill="1" applyAlignment="1">
      <alignment horizontal="left"/>
    </xf>
    <xf numFmtId="164" fontId="4" fillId="0" borderId="0" xfId="604" applyNumberFormat="1" applyFont="1" applyFill="1" applyAlignment="1"/>
    <xf numFmtId="0" fontId="21" fillId="0" borderId="0" xfId="0" applyFont="1" applyFill="1"/>
    <xf numFmtId="171" fontId="2" fillId="0" borderId="0" xfId="0" applyNumberFormat="1" applyFont="1" applyFill="1"/>
    <xf numFmtId="171" fontId="29" fillId="0" borderId="0" xfId="0" applyNumberFormat="1" applyFont="1" applyFill="1"/>
    <xf numFmtId="171" fontId="2" fillId="0" borderId="0" xfId="0" applyNumberFormat="1" applyFont="1" applyFill="1" applyAlignment="1">
      <alignment vertical="center"/>
    </xf>
    <xf numFmtId="0" fontId="39" fillId="0" borderId="0" xfId="0" applyFont="1" applyFill="1" applyAlignment="1">
      <alignment vertical="center"/>
    </xf>
    <xf numFmtId="0" fontId="39" fillId="0" borderId="0" xfId="0" applyFont="1" applyFill="1" applyAlignment="1">
      <alignment horizontal="right"/>
    </xf>
    <xf numFmtId="0" fontId="40" fillId="0" borderId="0" xfId="0" applyFont="1" applyFill="1" applyAlignment="1">
      <alignment horizontal="right"/>
    </xf>
    <xf numFmtId="170" fontId="40" fillId="0" borderId="0" xfId="606" applyFont="1" applyFill="1"/>
    <xf numFmtId="0" fontId="39" fillId="0" borderId="0" xfId="0" applyFont="1" applyFill="1" applyAlignment="1">
      <alignment wrapText="1"/>
    </xf>
    <xf numFmtId="0" fontId="39" fillId="0" borderId="10" xfId="0" applyFont="1" applyFill="1" applyBorder="1" applyAlignment="1">
      <alignment horizontal="right"/>
    </xf>
    <xf numFmtId="0" fontId="40" fillId="0" borderId="10" xfId="0" applyFont="1" applyFill="1" applyBorder="1" applyAlignment="1">
      <alignment horizontal="right"/>
    </xf>
    <xf numFmtId="0" fontId="27" fillId="0" borderId="0" xfId="0" applyFont="1" applyFill="1" applyAlignment="1">
      <alignment horizontal="left"/>
    </xf>
    <xf numFmtId="0" fontId="23" fillId="0" borderId="0" xfId="0" applyFont="1" applyFill="1"/>
    <xf numFmtId="171" fontId="29" fillId="0" borderId="0" xfId="604" applyNumberFormat="1" applyFont="1" applyFill="1" applyBorder="1" applyAlignment="1">
      <alignment horizontal="right"/>
    </xf>
    <xf numFmtId="170" fontId="46" fillId="0" borderId="0" xfId="606" applyFont="1" applyFill="1" applyAlignment="1">
      <alignment horizontal="right"/>
    </xf>
    <xf numFmtId="170" fontId="45" fillId="0" borderId="0" xfId="606" applyFont="1" applyFill="1" applyAlignment="1">
      <alignment horizontal="right"/>
    </xf>
    <xf numFmtId="170" fontId="46" fillId="0" borderId="9" xfId="606" applyFont="1" applyFill="1" applyBorder="1" applyAlignment="1">
      <alignment horizontal="right"/>
    </xf>
    <xf numFmtId="170" fontId="45" fillId="0" borderId="9" xfId="606" applyFont="1" applyFill="1" applyBorder="1" applyAlignment="1">
      <alignment horizontal="right"/>
    </xf>
    <xf numFmtId="0" fontId="39" fillId="0" borderId="0" xfId="0" applyFont="1" applyFill="1" applyAlignment="1">
      <alignment horizontal="center"/>
    </xf>
    <xf numFmtId="0" fontId="37" fillId="0" borderId="0" xfId="0" applyFont="1" applyFill="1" applyBorder="1" applyAlignment="1">
      <alignment horizontal="justify" wrapText="1"/>
    </xf>
    <xf numFmtId="0" fontId="30" fillId="0" borderId="0" xfId="0" applyFont="1" applyFill="1" applyBorder="1" applyAlignment="1">
      <alignment horizontal="justify" vertical="top" wrapText="1"/>
    </xf>
    <xf numFmtId="164" fontId="4" fillId="0" borderId="0" xfId="604" applyNumberFormat="1" applyFont="1" applyFill="1"/>
    <xf numFmtId="0" fontId="27" fillId="0" borderId="0" xfId="0" applyFont="1" applyFill="1" applyAlignment="1">
      <alignment horizontal="center"/>
    </xf>
    <xf numFmtId="0" fontId="21" fillId="0" borderId="0" xfId="0" applyFont="1" applyFill="1" applyAlignment="1">
      <alignment horizontal="right"/>
    </xf>
    <xf numFmtId="0" fontId="27" fillId="0" borderId="0" xfId="0" applyFont="1" applyFill="1" applyAlignment="1">
      <alignment horizontal="right"/>
    </xf>
    <xf numFmtId="0" fontId="27" fillId="0" borderId="0" xfId="0" applyFont="1" applyFill="1" applyAlignment="1">
      <alignment horizontal="center" vertical="center"/>
    </xf>
    <xf numFmtId="170" fontId="21" fillId="0" borderId="0" xfId="606" applyFont="1" applyFill="1" applyAlignment="1">
      <alignment horizontal="right" vertical="center"/>
    </xf>
    <xf numFmtId="170" fontId="26" fillId="0" borderId="0" xfId="606" applyFont="1" applyFill="1" applyBorder="1" applyAlignment="1">
      <alignment horizontal="right" vertical="center"/>
    </xf>
    <xf numFmtId="0" fontId="27" fillId="0" borderId="0" xfId="0" applyFont="1" applyFill="1" applyAlignment="1">
      <alignment wrapText="1"/>
    </xf>
    <xf numFmtId="170" fontId="27" fillId="0" borderId="0" xfId="606" applyFont="1" applyFill="1" applyAlignment="1">
      <alignment horizontal="right" vertical="center"/>
    </xf>
    <xf numFmtId="0" fontId="21" fillId="0" borderId="0" xfId="0" applyFont="1" applyFill="1" applyAlignment="1">
      <alignment wrapText="1"/>
    </xf>
    <xf numFmtId="170" fontId="26" fillId="0" borderId="7" xfId="606" applyFont="1" applyFill="1" applyBorder="1" applyAlignment="1">
      <alignment horizontal="right" vertical="center"/>
    </xf>
    <xf numFmtId="175" fontId="21" fillId="0" borderId="0" xfId="610" applyNumberFormat="1" applyFont="1" applyFill="1" applyAlignment="1">
      <alignment horizontal="right" vertical="center"/>
    </xf>
    <xf numFmtId="0" fontId="21" fillId="0" borderId="0" xfId="0" applyFont="1" applyFill="1" applyAlignment="1">
      <alignment horizontal="left" wrapText="1" indent="2"/>
    </xf>
    <xf numFmtId="170" fontId="3" fillId="0" borderId="0" xfId="606" applyFont="1" applyFill="1" applyBorder="1" applyAlignment="1">
      <alignment horizontal="right" vertical="center"/>
    </xf>
    <xf numFmtId="170" fontId="27" fillId="0" borderId="7" xfId="606" applyFont="1" applyFill="1" applyBorder="1" applyAlignment="1">
      <alignment horizontal="right" vertical="center"/>
    </xf>
    <xf numFmtId="175" fontId="27" fillId="0" borderId="0" xfId="610" applyNumberFormat="1" applyFont="1" applyFill="1" applyAlignment="1">
      <alignment horizontal="right" vertical="center"/>
    </xf>
    <xf numFmtId="170" fontId="27" fillId="0" borderId="8" xfId="606" applyFont="1" applyFill="1" applyBorder="1" applyAlignment="1">
      <alignment horizontal="right" vertical="center"/>
    </xf>
    <xf numFmtId="170" fontId="26" fillId="0" borderId="0" xfId="606" applyFont="1" applyFill="1" applyAlignment="1">
      <alignment horizontal="right" vertical="center"/>
    </xf>
    <xf numFmtId="0" fontId="27" fillId="0" borderId="0" xfId="0" applyFont="1" applyFill="1" applyAlignment="1">
      <alignment horizontal="left" wrapText="1"/>
    </xf>
    <xf numFmtId="170" fontId="27" fillId="0" borderId="9" xfId="606" applyFont="1" applyFill="1" applyBorder="1" applyAlignment="1">
      <alignment horizontal="right" vertical="center"/>
    </xf>
    <xf numFmtId="0" fontId="53" fillId="0" borderId="0" xfId="0" applyFont="1" applyFill="1" applyAlignment="1">
      <alignment horizontal="center" vertical="center"/>
    </xf>
    <xf numFmtId="0" fontId="0" fillId="0" borderId="0" xfId="0" applyFill="1" applyAlignment="1">
      <alignment horizontal="right"/>
    </xf>
    <xf numFmtId="170" fontId="27" fillId="0" borderId="0" xfId="606" applyFont="1" applyFill="1" applyBorder="1" applyAlignment="1">
      <alignment horizontal="right" vertical="center"/>
    </xf>
    <xf numFmtId="0" fontId="26" fillId="0" borderId="0" xfId="0" applyFont="1" applyFill="1" applyBorder="1" applyAlignment="1">
      <alignment horizontal="right" vertical="center" wrapText="1"/>
    </xf>
    <xf numFmtId="0" fontId="27" fillId="0" borderId="9" xfId="0" applyFont="1" applyFill="1" applyBorder="1"/>
    <xf numFmtId="170" fontId="26" fillId="0" borderId="9" xfId="606" applyFont="1" applyFill="1" applyBorder="1" applyAlignment="1">
      <alignment horizontal="right" vertical="center"/>
    </xf>
    <xf numFmtId="170" fontId="21" fillId="0" borderId="0" xfId="606" applyFont="1" applyFill="1" applyAlignment="1">
      <alignment vertical="center"/>
    </xf>
    <xf numFmtId="170" fontId="21" fillId="0" borderId="0" xfId="606" applyFont="1" applyFill="1" applyBorder="1" applyAlignment="1">
      <alignment vertical="center"/>
    </xf>
    <xf numFmtId="0" fontId="3" fillId="0" borderId="7" xfId="618" applyFont="1" applyFill="1" applyBorder="1" applyAlignment="1">
      <alignment wrapText="1"/>
    </xf>
    <xf numFmtId="0" fontId="26" fillId="0" borderId="7" xfId="618" applyFont="1" applyFill="1" applyBorder="1" applyAlignment="1">
      <alignment horizontal="center" vertical="center" wrapText="1"/>
    </xf>
    <xf numFmtId="0" fontId="26" fillId="0" borderId="9" xfId="618" applyFont="1" applyFill="1" applyBorder="1" applyAlignment="1">
      <alignment vertical="center" wrapText="1"/>
    </xf>
    <xf numFmtId="0" fontId="3" fillId="0" borderId="0" xfId="618" applyFont="1" applyFill="1" applyAlignment="1"/>
    <xf numFmtId="0" fontId="3" fillId="0" borderId="0" xfId="618" applyFont="1" applyFill="1" applyBorder="1" applyAlignment="1">
      <alignment vertical="center" wrapText="1"/>
    </xf>
    <xf numFmtId="0" fontId="2" fillId="0" borderId="0" xfId="618" applyFill="1"/>
    <xf numFmtId="0" fontId="3" fillId="0" borderId="0" xfId="618" applyFont="1" applyFill="1" applyAlignment="1">
      <alignment vertical="center" wrapText="1"/>
    </xf>
    <xf numFmtId="0" fontId="3" fillId="0" borderId="0" xfId="618" applyFont="1" applyFill="1"/>
    <xf numFmtId="0" fontId="27" fillId="0" borderId="10" xfId="0" applyFont="1" applyFill="1" applyBorder="1" applyAlignment="1">
      <alignment horizontal="center" vertical="center"/>
    </xf>
    <xf numFmtId="0" fontId="39" fillId="0" borderId="10" xfId="0" applyFont="1" applyFill="1" applyBorder="1"/>
    <xf numFmtId="0" fontId="27" fillId="0" borderId="0" xfId="0" applyFont="1" applyFill="1"/>
    <xf numFmtId="0" fontId="21" fillId="0" borderId="0" xfId="0" applyFont="1" applyFill="1" applyAlignment="1">
      <alignment horizontal="left" indent="2"/>
    </xf>
    <xf numFmtId="170" fontId="28" fillId="0" borderId="0" xfId="606" applyFont="1" applyFill="1" applyBorder="1" applyAlignment="1" applyProtection="1">
      <alignment horizontal="right" vertical="center"/>
    </xf>
    <xf numFmtId="170" fontId="27" fillId="0" borderId="10" xfId="606" applyFont="1" applyFill="1" applyBorder="1"/>
    <xf numFmtId="170" fontId="28" fillId="0" borderId="0" xfId="606" applyFont="1" applyFill="1" applyBorder="1" applyAlignment="1" applyProtection="1">
      <alignment horizontal="right" vertical="center"/>
      <protection locked="0"/>
    </xf>
    <xf numFmtId="170" fontId="28" fillId="0" borderId="0" xfId="606" applyFont="1" applyFill="1" applyBorder="1" applyAlignment="1" applyProtection="1">
      <alignment vertical="center"/>
      <protection locked="0"/>
    </xf>
    <xf numFmtId="0" fontId="27" fillId="0" borderId="0" xfId="0" applyFont="1" applyFill="1" applyBorder="1"/>
    <xf numFmtId="170" fontId="27" fillId="0" borderId="9" xfId="606" applyFont="1" applyFill="1" applyBorder="1"/>
    <xf numFmtId="0" fontId="40" fillId="0" borderId="0" xfId="0" applyFont="1" applyFill="1" applyBorder="1"/>
    <xf numFmtId="0" fontId="21" fillId="0" borderId="0" xfId="0" applyFont="1" applyFill="1" applyAlignment="1">
      <alignment horizontal="left"/>
    </xf>
    <xf numFmtId="171" fontId="2" fillId="0" borderId="0" xfId="604" applyNumberFormat="1" applyFont="1" applyFill="1" applyBorder="1"/>
    <xf numFmtId="171" fontId="4" fillId="0" borderId="0" xfId="604" applyNumberFormat="1" applyFont="1" applyFill="1" applyBorder="1"/>
    <xf numFmtId="170" fontId="4" fillId="0" borderId="0" xfId="606" applyFont="1" applyFill="1" applyBorder="1" applyAlignment="1">
      <alignment horizontal="right"/>
    </xf>
    <xf numFmtId="170" fontId="40" fillId="0" borderId="0" xfId="606" applyFont="1" applyFill="1" applyAlignment="1">
      <alignment horizontal="right"/>
    </xf>
    <xf numFmtId="170" fontId="29" fillId="0" borderId="0" xfId="606" applyFont="1" applyFill="1" applyBorder="1" applyAlignment="1">
      <alignment horizontal="right"/>
    </xf>
    <xf numFmtId="0" fontId="0" fillId="0" borderId="0" xfId="0" applyFont="1" applyFill="1"/>
    <xf numFmtId="170" fontId="2" fillId="0" borderId="0" xfId="606" applyFont="1" applyFill="1" applyBorder="1" applyAlignment="1">
      <alignment horizontal="right"/>
    </xf>
    <xf numFmtId="171" fontId="2" fillId="0" borderId="0" xfId="604" applyNumberFormat="1" applyFont="1" applyFill="1" applyBorder="1" applyAlignment="1">
      <alignment horizontal="left"/>
    </xf>
    <xf numFmtId="0" fontId="44" fillId="0" borderId="0" xfId="0" applyFont="1" applyFill="1" applyAlignment="1">
      <alignment horizontal="left"/>
    </xf>
    <xf numFmtId="0" fontId="44" fillId="0" borderId="0" xfId="0" applyFont="1" applyFill="1" applyAlignment="1">
      <alignment horizontal="justify"/>
    </xf>
    <xf numFmtId="0" fontId="23" fillId="0" borderId="0" xfId="0" applyFont="1" applyFill="1" applyAlignment="1">
      <alignment horizontal="right"/>
    </xf>
    <xf numFmtId="0" fontId="0" fillId="0" borderId="0" xfId="0" applyFont="1" applyFill="1" applyAlignment="1">
      <alignment horizontal="right"/>
    </xf>
    <xf numFmtId="0" fontId="0" fillId="0" borderId="0" xfId="0" applyFill="1" applyAlignment="1">
      <alignment horizontal="left"/>
    </xf>
    <xf numFmtId="0" fontId="52" fillId="0" borderId="0" xfId="0" applyFont="1" applyFill="1"/>
    <xf numFmtId="0" fontId="54" fillId="0" borderId="0" xfId="0" applyFont="1" applyFill="1" applyAlignment="1">
      <alignment horizontal="right"/>
    </xf>
    <xf numFmtId="0" fontId="52" fillId="0" borderId="0" xfId="0" applyFont="1" applyFill="1" applyAlignment="1">
      <alignment horizontal="right"/>
    </xf>
    <xf numFmtId="0" fontId="23" fillId="0" borderId="10" xfId="0" applyFont="1" applyFill="1" applyBorder="1" applyAlignment="1">
      <alignment horizontal="right"/>
    </xf>
    <xf numFmtId="0" fontId="0" fillId="0" borderId="10" xfId="0" applyFill="1" applyBorder="1" applyAlignment="1">
      <alignment horizontal="right"/>
    </xf>
    <xf numFmtId="0" fontId="0" fillId="0" borderId="10" xfId="0" applyFont="1" applyFill="1" applyBorder="1" applyAlignment="1">
      <alignment horizontal="right"/>
    </xf>
    <xf numFmtId="164" fontId="4" fillId="0" borderId="0" xfId="604" applyNumberFormat="1" applyFont="1" applyFill="1" applyAlignment="1">
      <alignment horizontal="left"/>
    </xf>
    <xf numFmtId="171" fontId="29" fillId="0" borderId="0" xfId="604" applyNumberFormat="1" applyFont="1" applyFill="1" applyBorder="1"/>
    <xf numFmtId="171" fontId="43" fillId="0" borderId="0" xfId="604" quotePrefix="1" applyNumberFormat="1" applyFont="1" applyFill="1" applyBorder="1" applyAlignment="1">
      <alignment horizontal="right"/>
    </xf>
    <xf numFmtId="0" fontId="0" fillId="0" borderId="10" xfId="0" applyFill="1" applyBorder="1" applyAlignment="1">
      <alignment horizontal="left"/>
    </xf>
    <xf numFmtId="0" fontId="47" fillId="0" borderId="0" xfId="0" applyFont="1" applyFill="1"/>
    <xf numFmtId="0" fontId="40" fillId="0" borderId="0" xfId="0" applyFont="1" applyFill="1" applyAlignment="1">
      <alignment horizontal="center"/>
    </xf>
    <xf numFmtId="0" fontId="0" fillId="0" borderId="0" xfId="0" applyFont="1" applyFill="1" applyBorder="1"/>
    <xf numFmtId="171" fontId="4" fillId="0" borderId="0" xfId="0" applyNumberFormat="1" applyFont="1" applyFill="1" applyAlignment="1">
      <alignment horizontal="center" vertical="center" wrapText="1"/>
    </xf>
    <xf numFmtId="171" fontId="29" fillId="0" borderId="0" xfId="0" applyNumberFormat="1" applyFont="1" applyFill="1" applyAlignment="1">
      <alignment horizontal="center" vertical="center" wrapText="1"/>
    </xf>
    <xf numFmtId="0" fontId="0" fillId="0" borderId="0" xfId="0" applyFont="1" applyFill="1" applyBorder="1" applyAlignment="1">
      <alignment horizontal="center"/>
    </xf>
    <xf numFmtId="0" fontId="0" fillId="0" borderId="0" xfId="0" applyFont="1" applyFill="1" applyAlignment="1">
      <alignment horizontal="center"/>
    </xf>
    <xf numFmtId="171" fontId="4" fillId="0" borderId="0" xfId="0" applyNumberFormat="1" applyFont="1" applyFill="1" applyAlignment="1">
      <alignment horizontal="right" vertical="center" wrapText="1"/>
    </xf>
    <xf numFmtId="171" fontId="29" fillId="0" borderId="0" xfId="0" applyNumberFormat="1" applyFont="1" applyFill="1" applyAlignment="1">
      <alignment horizontal="right" vertical="center" wrapText="1"/>
    </xf>
    <xf numFmtId="171" fontId="2" fillId="0" borderId="0" xfId="605" applyNumberFormat="1" applyFont="1" applyFill="1" applyBorder="1"/>
    <xf numFmtId="171" fontId="2" fillId="0" borderId="0" xfId="604" applyNumberFormat="1" applyFont="1" applyFill="1"/>
    <xf numFmtId="171" fontId="4" fillId="0" borderId="0" xfId="604" applyNumberFormat="1" applyFont="1" applyFill="1"/>
    <xf numFmtId="0" fontId="23" fillId="0" borderId="0" xfId="0" applyFont="1" applyFill="1" applyBorder="1"/>
    <xf numFmtId="171" fontId="2" fillId="0" borderId="0" xfId="605" applyNumberFormat="1" applyFont="1" applyFill="1" applyBorder="1" applyAlignment="1"/>
    <xf numFmtId="170" fontId="45" fillId="0" borderId="10" xfId="606" applyFont="1" applyFill="1" applyBorder="1" applyAlignment="1">
      <alignment horizontal="right"/>
    </xf>
    <xf numFmtId="170" fontId="45" fillId="0" borderId="0" xfId="606" applyFont="1" applyFill="1" applyBorder="1" applyAlignment="1">
      <alignment horizontal="right"/>
    </xf>
    <xf numFmtId="0" fontId="55" fillId="0" borderId="0" xfId="0" applyFont="1" applyFill="1"/>
    <xf numFmtId="0" fontId="45" fillId="0" borderId="0" xfId="0" applyFont="1" applyFill="1" applyAlignment="1">
      <alignment horizontal="left"/>
    </xf>
    <xf numFmtId="170" fontId="2" fillId="0" borderId="0" xfId="606" applyFont="1" applyFill="1"/>
    <xf numFmtId="170" fontId="24" fillId="0" borderId="9" xfId="606" applyFont="1" applyFill="1" applyBorder="1"/>
    <xf numFmtId="170" fontId="2" fillId="0" borderId="9" xfId="606" applyFont="1" applyFill="1" applyBorder="1"/>
    <xf numFmtId="170" fontId="24" fillId="0" borderId="0" xfId="606" applyFont="1" applyFill="1" applyBorder="1"/>
    <xf numFmtId="170" fontId="2" fillId="0" borderId="0" xfId="606" applyFill="1"/>
    <xf numFmtId="170" fontId="2" fillId="0" borderId="0" xfId="606" applyFont="1" applyFill="1" applyBorder="1"/>
    <xf numFmtId="0" fontId="40" fillId="0" borderId="0" xfId="0" applyFont="1" applyFill="1" applyAlignment="1">
      <alignment horizontal="left" wrapText="1"/>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xf numFmtId="170" fontId="46" fillId="0" borderId="10" xfId="606" applyFont="1" applyFill="1" applyBorder="1" applyAlignment="1">
      <alignment horizontal="right"/>
    </xf>
    <xf numFmtId="170" fontId="46" fillId="0" borderId="0" xfId="606" applyFont="1" applyFill="1" applyBorder="1" applyAlignment="1">
      <alignment horizontal="right"/>
    </xf>
    <xf numFmtId="0" fontId="39" fillId="0" borderId="0" xfId="0" applyFont="1" applyFill="1" applyAlignment="1">
      <alignment horizontal="center"/>
    </xf>
    <xf numFmtId="0" fontId="45" fillId="0" borderId="0" xfId="0" applyFont="1" applyFill="1" applyAlignment="1">
      <alignment horizontal="left" wrapText="1"/>
    </xf>
    <xf numFmtId="170" fontId="24" fillId="0" borderId="0" xfId="606" applyFont="1" applyFill="1"/>
    <xf numFmtId="0" fontId="46" fillId="0" borderId="0" xfId="0" applyFont="1" applyFill="1"/>
    <xf numFmtId="0" fontId="45" fillId="0" borderId="0" xfId="0" applyFont="1" applyFill="1" applyAlignment="1">
      <alignment wrapText="1"/>
    </xf>
    <xf numFmtId="179" fontId="39" fillId="0" borderId="0" xfId="0" applyNumberFormat="1" applyFont="1" applyFill="1" applyAlignment="1">
      <alignment horizontal="left"/>
    </xf>
    <xf numFmtId="0" fontId="2" fillId="0" borderId="0" xfId="0" applyFont="1" applyFill="1" applyAlignment="1"/>
    <xf numFmtId="0" fontId="4" fillId="0" borderId="0" xfId="0" applyFont="1" applyFill="1" applyAlignment="1"/>
    <xf numFmtId="170" fontId="39" fillId="0" borderId="0" xfId="606" applyFont="1" applyFill="1" applyAlignment="1">
      <alignment horizontal="right"/>
    </xf>
    <xf numFmtId="170" fontId="2" fillId="0" borderId="0" xfId="606" applyFont="1" applyFill="1" applyAlignment="1">
      <alignment horizontal="right"/>
    </xf>
    <xf numFmtId="171" fontId="4" fillId="0" borderId="0" xfId="605" quotePrefix="1" applyNumberFormat="1" applyFont="1" applyFill="1" applyBorder="1" applyAlignment="1" applyProtection="1">
      <alignment horizontal="right"/>
    </xf>
    <xf numFmtId="171" fontId="29" fillId="0" borderId="0" xfId="605" quotePrefix="1" applyNumberFormat="1" applyFont="1" applyFill="1" applyBorder="1" applyAlignment="1" applyProtection="1">
      <alignment horizontal="right"/>
    </xf>
    <xf numFmtId="171" fontId="2" fillId="0" borderId="0" xfId="0" applyNumberFormat="1" applyFont="1" applyFill="1" applyBorder="1"/>
    <xf numFmtId="171" fontId="4" fillId="0" borderId="0" xfId="605" applyNumberFormat="1" applyFont="1" applyFill="1" applyBorder="1"/>
    <xf numFmtId="170" fontId="24" fillId="0" borderId="0" xfId="606" applyFont="1" applyFill="1" applyBorder="1" applyAlignment="1">
      <alignment horizontal="right"/>
    </xf>
    <xf numFmtId="171" fontId="2" fillId="0" borderId="0" xfId="604" applyNumberFormat="1" applyFont="1" applyFill="1" applyProtection="1">
      <protection locked="0"/>
    </xf>
    <xf numFmtId="175" fontId="46" fillId="0" borderId="11" xfId="0" applyNumberFormat="1" applyFont="1" applyFill="1" applyBorder="1"/>
    <xf numFmtId="175" fontId="46" fillId="0" borderId="0" xfId="0" applyNumberFormat="1" applyFont="1" applyFill="1"/>
    <xf numFmtId="175" fontId="45" fillId="0" borderId="11" xfId="0" applyNumberFormat="1" applyFont="1" applyFill="1" applyBorder="1"/>
    <xf numFmtId="175" fontId="45" fillId="0" borderId="0" xfId="0" applyNumberFormat="1" applyFont="1" applyFill="1"/>
    <xf numFmtId="0" fontId="40" fillId="0" borderId="0" xfId="0" applyFont="1" applyFill="1" applyAlignment="1">
      <alignment wrapText="1"/>
    </xf>
    <xf numFmtId="170" fontId="46" fillId="0" borderId="0" xfId="606" applyFont="1" applyFill="1" applyAlignment="1">
      <alignment vertical="center"/>
    </xf>
    <xf numFmtId="170" fontId="45" fillId="0" borderId="0" xfId="606" applyFont="1" applyFill="1" applyAlignment="1">
      <alignment vertical="center"/>
    </xf>
    <xf numFmtId="171" fontId="29" fillId="0" borderId="0" xfId="604" quotePrefix="1" applyNumberFormat="1" applyFont="1" applyFill="1" applyBorder="1" applyAlignment="1">
      <alignment horizontal="right"/>
    </xf>
    <xf numFmtId="0" fontId="45" fillId="0" borderId="0" xfId="0" quotePrefix="1" applyFont="1" applyFill="1" applyAlignment="1">
      <alignment horizontal="left" indent="2"/>
    </xf>
    <xf numFmtId="170" fontId="24" fillId="0" borderId="9" xfId="606" applyFont="1" applyFill="1" applyBorder="1" applyAlignment="1">
      <alignment horizontal="right"/>
    </xf>
    <xf numFmtId="170" fontId="2" fillId="0" borderId="9" xfId="606" applyFont="1" applyFill="1" applyBorder="1" applyAlignment="1">
      <alignment horizontal="right"/>
    </xf>
    <xf numFmtId="171" fontId="44" fillId="0" borderId="0" xfId="0" applyNumberFormat="1" applyFont="1" applyFill="1" applyBorder="1" applyAlignment="1">
      <alignment horizontal="right"/>
    </xf>
    <xf numFmtId="171" fontId="41" fillId="0" borderId="0" xfId="0" applyNumberFormat="1" applyFont="1" applyFill="1" applyBorder="1" applyAlignment="1">
      <alignment horizontal="right"/>
    </xf>
    <xf numFmtId="171" fontId="30" fillId="0" borderId="0" xfId="0" applyNumberFormat="1" applyFont="1" applyFill="1" applyBorder="1" applyAlignment="1"/>
    <xf numFmtId="171" fontId="2" fillId="0" borderId="0" xfId="0" applyNumberFormat="1" applyFont="1" applyFill="1" applyBorder="1" applyAlignment="1"/>
    <xf numFmtId="171" fontId="29" fillId="0" borderId="0" xfId="0" applyNumberFormat="1" applyFont="1" applyFill="1" applyAlignment="1">
      <alignment horizontal="right"/>
    </xf>
    <xf numFmtId="170" fontId="24" fillId="0" borderId="0" xfId="606" applyFont="1" applyFill="1" applyAlignment="1">
      <alignment horizontal="right"/>
    </xf>
    <xf numFmtId="171" fontId="4" fillId="0" borderId="0" xfId="0" applyNumberFormat="1" applyFont="1" applyFill="1" applyAlignment="1">
      <alignment horizontal="right"/>
    </xf>
    <xf numFmtId="171" fontId="44" fillId="0" borderId="0" xfId="0" applyNumberFormat="1" applyFont="1" applyFill="1" applyBorder="1" applyAlignment="1"/>
    <xf numFmtId="171" fontId="30" fillId="0" borderId="0" xfId="0" applyNumberFormat="1" applyFont="1" applyFill="1" applyBorder="1" applyAlignment="1">
      <alignment horizontal="left" indent="2"/>
    </xf>
    <xf numFmtId="0" fontId="0" fillId="0" borderId="0" xfId="0" applyFont="1" applyFill="1" applyAlignment="1">
      <alignment horizontal="left"/>
    </xf>
    <xf numFmtId="0" fontId="2" fillId="0" borderId="0" xfId="128" applyNumberFormat="1" applyFont="1" applyFill="1" applyBorder="1" applyAlignment="1" applyProtection="1"/>
    <xf numFmtId="170" fontId="46" fillId="0" borderId="10" xfId="606" applyFont="1" applyFill="1" applyBorder="1"/>
    <xf numFmtId="170" fontId="45" fillId="0" borderId="10" xfId="606" applyFont="1" applyFill="1" applyBorder="1"/>
    <xf numFmtId="169" fontId="39" fillId="0" borderId="0" xfId="0" applyNumberFormat="1" applyFont="1" applyFill="1" applyAlignment="1">
      <alignment horizontal="center"/>
    </xf>
    <xf numFmtId="169" fontId="40" fillId="0" borderId="0" xfId="0" applyNumberFormat="1" applyFont="1" applyFill="1" applyAlignment="1">
      <alignment horizontal="center"/>
    </xf>
    <xf numFmtId="0" fontId="39" fillId="0" borderId="0" xfId="0" applyFont="1" applyFill="1" applyAlignment="1">
      <alignment horizontal="center"/>
    </xf>
    <xf numFmtId="0" fontId="27" fillId="0" borderId="0" xfId="0" applyFont="1" applyFill="1" applyAlignment="1">
      <alignment horizontal="center"/>
    </xf>
    <xf numFmtId="0" fontId="39" fillId="0" borderId="0" xfId="0" applyFont="1" applyFill="1" applyAlignment="1">
      <alignment horizontal="center" vertical="center" wrapText="1"/>
    </xf>
    <xf numFmtId="0" fontId="45" fillId="0" borderId="0" xfId="0" applyFont="1" applyFill="1" applyAlignment="1">
      <alignment horizontal="left" indent="2"/>
    </xf>
    <xf numFmtId="170" fontId="24" fillId="0" borderId="0" xfId="606" applyFont="1" applyFill="1" applyAlignment="1">
      <alignment horizontal="right" vertical="center"/>
    </xf>
    <xf numFmtId="170" fontId="2" fillId="0" borderId="0" xfId="606" applyFont="1" applyFill="1" applyAlignment="1">
      <alignment horizontal="right" vertical="center"/>
    </xf>
    <xf numFmtId="0" fontId="4" fillId="0" borderId="0" xfId="158" quotePrefix="1" applyFont="1" applyFill="1" applyBorder="1" applyAlignment="1">
      <alignment horizontal="right"/>
    </xf>
    <xf numFmtId="0" fontId="29" fillId="0" borderId="0" xfId="158" quotePrefix="1" applyFont="1" applyFill="1" applyBorder="1" applyAlignment="1">
      <alignment horizontal="right"/>
    </xf>
    <xf numFmtId="0" fontId="39" fillId="0" borderId="0" xfId="0" applyFont="1" applyFill="1" applyAlignment="1">
      <alignment horizontal="left" wrapText="1"/>
    </xf>
    <xf numFmtId="0" fontId="39" fillId="0" borderId="0" xfId="0" applyFont="1" applyFill="1" applyAlignment="1">
      <alignment horizontal="center" wrapText="1"/>
    </xf>
    <xf numFmtId="170" fontId="39" fillId="0" borderId="0" xfId="606" applyFont="1" applyFill="1" applyBorder="1"/>
    <xf numFmtId="0" fontId="45" fillId="0" borderId="0" xfId="0" applyFont="1" applyFill="1" applyAlignment="1">
      <alignment horizontal="left" wrapText="1" indent="2"/>
    </xf>
    <xf numFmtId="170" fontId="46" fillId="0" borderId="0" xfId="606" applyFont="1" applyFill="1" applyBorder="1"/>
    <xf numFmtId="170" fontId="46" fillId="0" borderId="8" xfId="606" applyFont="1" applyFill="1" applyBorder="1"/>
    <xf numFmtId="170" fontId="24" fillId="0" borderId="8" xfId="606" applyFont="1" applyFill="1" applyBorder="1"/>
    <xf numFmtId="170" fontId="2" fillId="0" borderId="8" xfId="606" applyFont="1" applyFill="1" applyBorder="1"/>
    <xf numFmtId="0" fontId="39" fillId="0" borderId="0" xfId="0" applyFont="1" applyFill="1" applyAlignment="1">
      <alignment horizontal="center" wrapText="1"/>
    </xf>
    <xf numFmtId="6" fontId="4" fillId="0" borderId="0" xfId="0" quotePrefix="1" applyNumberFormat="1" applyFont="1" applyFill="1" applyAlignment="1">
      <alignment horizontal="right"/>
    </xf>
    <xf numFmtId="0" fontId="40" fillId="0" borderId="0" xfId="0" applyFont="1" applyFill="1" applyAlignment="1">
      <alignment horizontal="center" wrapText="1"/>
    </xf>
    <xf numFmtId="0" fontId="51" fillId="0" borderId="0" xfId="0" applyFont="1" applyFill="1"/>
    <xf numFmtId="0" fontId="45" fillId="0" borderId="0" xfId="0" applyFont="1" applyFill="1"/>
    <xf numFmtId="169" fontId="45" fillId="0" borderId="0" xfId="0" applyNumberFormat="1" applyFont="1" applyFill="1"/>
    <xf numFmtId="170" fontId="24" fillId="0" borderId="10" xfId="606" applyFont="1" applyFill="1" applyBorder="1"/>
    <xf numFmtId="170" fontId="2" fillId="0" borderId="10" xfId="606" applyFont="1" applyFill="1" applyBorder="1"/>
    <xf numFmtId="170" fontId="4" fillId="0" borderId="0" xfId="606" applyFont="1" applyFill="1"/>
    <xf numFmtId="170" fontId="29" fillId="0" borderId="0" xfId="606" applyFont="1" applyFill="1"/>
    <xf numFmtId="170" fontId="24" fillId="0" borderId="0" xfId="606" applyFont="1" applyFill="1" applyAlignment="1">
      <alignment vertical="center"/>
    </xf>
    <xf numFmtId="0" fontId="40" fillId="0" borderId="12" xfId="0" applyFont="1" applyFill="1" applyBorder="1"/>
    <xf numFmtId="49" fontId="39" fillId="0" borderId="12" xfId="0" applyNumberFormat="1" applyFont="1" applyFill="1" applyBorder="1" applyAlignment="1">
      <alignment horizontal="right"/>
    </xf>
    <xf numFmtId="170" fontId="39" fillId="0" borderId="12" xfId="606" applyFont="1" applyFill="1" applyBorder="1"/>
    <xf numFmtId="10" fontId="39" fillId="0" borderId="12" xfId="0" applyNumberFormat="1" applyFont="1" applyFill="1" applyBorder="1"/>
    <xf numFmtId="0" fontId="39" fillId="0" borderId="12" xfId="0" applyFont="1" applyFill="1" applyBorder="1" applyAlignment="1">
      <alignment horizontal="center" vertical="center" wrapText="1"/>
    </xf>
    <xf numFmtId="0" fontId="45" fillId="0" borderId="12" xfId="0" applyFont="1" applyFill="1" applyBorder="1"/>
    <xf numFmtId="0" fontId="4" fillId="0" borderId="0" xfId="208" quotePrefix="1" applyFont="1" applyFill="1" applyBorder="1" applyAlignment="1">
      <alignment horizontal="right" wrapText="1"/>
    </xf>
    <xf numFmtId="176" fontId="45" fillId="0" borderId="0" xfId="611" applyNumberFormat="1" applyFont="1" applyFill="1"/>
    <xf numFmtId="177" fontId="45" fillId="0" borderId="0" xfId="611" applyNumberFormat="1" applyFont="1" applyFill="1"/>
    <xf numFmtId="0" fontId="46" fillId="0" borderId="9" xfId="0" applyFont="1" applyFill="1" applyBorder="1"/>
    <xf numFmtId="176" fontId="46" fillId="0" borderId="9" xfId="611" applyNumberFormat="1" applyFont="1" applyFill="1" applyBorder="1"/>
    <xf numFmtId="176" fontId="46" fillId="0" borderId="0" xfId="611" applyNumberFormat="1" applyFont="1" applyFill="1"/>
    <xf numFmtId="0" fontId="46" fillId="0" borderId="0" xfId="0" applyFont="1" applyFill="1" applyBorder="1"/>
    <xf numFmtId="176" fontId="46" fillId="0" borderId="0" xfId="611" applyNumberFormat="1" applyFont="1" applyFill="1" applyBorder="1"/>
    <xf numFmtId="0" fontId="4" fillId="0" borderId="0" xfId="198" applyFont="1" applyFill="1" applyAlignment="1">
      <alignment wrapText="1"/>
    </xf>
    <xf numFmtId="0" fontId="4" fillId="0" borderId="0" xfId="199" applyFont="1" applyFill="1" applyAlignment="1">
      <alignment wrapText="1"/>
    </xf>
    <xf numFmtId="0" fontId="39" fillId="0" borderId="0" xfId="0" applyFont="1" applyFill="1" applyAlignment="1">
      <alignment horizontal="left" vertical="center" wrapText="1"/>
    </xf>
    <xf numFmtId="49" fontId="4" fillId="0" borderId="0" xfId="0" applyNumberFormat="1" applyFont="1" applyFill="1" applyBorder="1" applyAlignment="1">
      <alignment horizontal="right" vertical="top" wrapText="1"/>
    </xf>
    <xf numFmtId="0" fontId="46" fillId="0" borderId="0" xfId="0" applyFont="1" applyFill="1" applyAlignment="1">
      <alignment horizontal="left" vertical="center" wrapText="1"/>
    </xf>
    <xf numFmtId="0" fontId="46" fillId="0" borderId="0" xfId="0" applyFont="1" applyFill="1" applyAlignment="1">
      <alignment horizontal="center" vertical="center" wrapText="1"/>
    </xf>
    <xf numFmtId="0" fontId="46" fillId="0" borderId="0" xfId="0" applyFont="1" applyFill="1" applyAlignment="1">
      <alignment horizontal="right" vertical="center" wrapText="1"/>
    </xf>
    <xf numFmtId="170" fontId="50" fillId="0" borderId="8" xfId="606" applyFont="1" applyFill="1" applyBorder="1" applyAlignment="1" applyProtection="1">
      <alignment horizontal="right"/>
      <protection locked="0"/>
    </xf>
    <xf numFmtId="170" fontId="50" fillId="0" borderId="0" xfId="606" applyFont="1" applyFill="1" applyBorder="1" applyAlignment="1" applyProtection="1">
      <alignment horizontal="right"/>
      <protection locked="0"/>
    </xf>
    <xf numFmtId="170" fontId="50" fillId="0" borderId="9" xfId="606" applyFont="1" applyFill="1" applyBorder="1" applyAlignment="1" applyProtection="1">
      <alignment horizontal="right"/>
      <protection locked="0"/>
    </xf>
    <xf numFmtId="170" fontId="44" fillId="0" borderId="8" xfId="606" applyFont="1" applyFill="1" applyBorder="1" applyAlignment="1">
      <alignment horizontal="right"/>
    </xf>
    <xf numFmtId="170" fontId="4" fillId="0" borderId="0" xfId="606" applyFont="1" applyFill="1" applyBorder="1"/>
    <xf numFmtId="169" fontId="45" fillId="0" borderId="0" xfId="0" applyNumberFormat="1" applyFont="1" applyFill="1" applyAlignment="1">
      <alignment horizontal="left" indent="2"/>
    </xf>
    <xf numFmtId="170" fontId="30" fillId="0" borderId="0" xfId="606" applyFont="1" applyFill="1" applyBorder="1" applyAlignment="1" applyProtection="1">
      <alignment horizontal="right"/>
      <protection locked="0"/>
    </xf>
    <xf numFmtId="0" fontId="46" fillId="0" borderId="0" xfId="0" applyFont="1" applyFill="1" applyAlignment="1">
      <alignment horizontal="left"/>
    </xf>
    <xf numFmtId="0" fontId="40" fillId="0" borderId="0" xfId="0" applyFont="1" applyFill="1" applyBorder="1" applyAlignment="1">
      <alignment horizontal="left"/>
    </xf>
    <xf numFmtId="0" fontId="39" fillId="0" borderId="0" xfId="0" applyFont="1" applyFill="1" applyBorder="1"/>
    <xf numFmtId="0" fontId="39" fillId="0" borderId="0" xfId="0" applyFont="1" applyFill="1" applyBorder="1" applyAlignment="1">
      <alignment horizontal="left"/>
    </xf>
    <xf numFmtId="0" fontId="39" fillId="0" borderId="0" xfId="0" applyFont="1" applyFill="1" applyAlignment="1">
      <alignment horizontal="right" vertical="center" wrapText="1"/>
    </xf>
    <xf numFmtId="169" fontId="45" fillId="0" borderId="0" xfId="0" applyNumberFormat="1" applyFont="1" applyFill="1" applyAlignment="1">
      <alignment horizontal="left" indent="1"/>
    </xf>
    <xf numFmtId="169" fontId="45" fillId="0" borderId="0" xfId="0" applyNumberFormat="1" applyFont="1" applyFill="1" applyBorder="1" applyAlignment="1">
      <alignment horizontal="left" indent="1"/>
    </xf>
    <xf numFmtId="169" fontId="45" fillId="0" borderId="9" xfId="0" applyNumberFormat="1" applyFont="1" applyFill="1" applyBorder="1" applyAlignment="1">
      <alignment horizontal="left" indent="1"/>
    </xf>
    <xf numFmtId="170" fontId="30" fillId="0" borderId="9" xfId="606" applyFont="1" applyFill="1" applyBorder="1" applyAlignment="1" applyProtection="1">
      <alignment horizontal="right"/>
      <protection locked="0"/>
    </xf>
    <xf numFmtId="0" fontId="45" fillId="0" borderId="0" xfId="0" applyFont="1" applyFill="1" applyBorder="1"/>
    <xf numFmtId="171" fontId="4" fillId="0" borderId="0" xfId="604" quotePrefix="1" applyNumberFormat="1" applyFont="1" applyFill="1" applyBorder="1" applyAlignment="1">
      <alignment horizontal="right"/>
    </xf>
    <xf numFmtId="0" fontId="44" fillId="0" borderId="0" xfId="97" applyNumberFormat="1" applyFont="1" applyFill="1" applyBorder="1" applyAlignment="1" applyProtection="1">
      <alignment horizontal="right"/>
    </xf>
    <xf numFmtId="170" fontId="24" fillId="0" borderId="8" xfId="606" applyFont="1" applyFill="1" applyBorder="1" applyAlignment="1">
      <alignment vertical="center"/>
    </xf>
    <xf numFmtId="170" fontId="24" fillId="0" borderId="9" xfId="606" applyFont="1" applyFill="1" applyBorder="1" applyAlignment="1">
      <alignment vertical="center"/>
    </xf>
    <xf numFmtId="0" fontId="45" fillId="0" borderId="0" xfId="0" applyFont="1" applyFill="1" applyAlignment="1"/>
    <xf numFmtId="0" fontId="44" fillId="0" borderId="0" xfId="167" applyNumberFormat="1" applyFont="1" applyFill="1" applyBorder="1" applyAlignment="1" applyProtection="1">
      <alignment horizontal="right"/>
    </xf>
    <xf numFmtId="0" fontId="41" fillId="0" borderId="0" xfId="167" applyNumberFormat="1" applyFont="1" applyFill="1" applyBorder="1" applyAlignment="1" applyProtection="1">
      <alignment horizontal="right"/>
    </xf>
    <xf numFmtId="0" fontId="56" fillId="0" borderId="0" xfId="0" applyFont="1"/>
    <xf numFmtId="0" fontId="27" fillId="0" borderId="0" xfId="0" applyFont="1" applyFill="1" applyAlignment="1">
      <alignment horizontal="justify" wrapText="1"/>
    </xf>
    <xf numFmtId="0" fontId="26" fillId="0" borderId="0" xfId="601" applyFont="1" applyFill="1"/>
    <xf numFmtId="0" fontId="57" fillId="0" borderId="10" xfId="0" applyFont="1" applyFill="1" applyBorder="1"/>
    <xf numFmtId="0" fontId="56" fillId="0" borderId="10" xfId="0" applyFont="1" applyFill="1" applyBorder="1"/>
    <xf numFmtId="0" fontId="56" fillId="0" borderId="0" xfId="0" applyFont="1" applyFill="1"/>
    <xf numFmtId="0" fontId="47" fillId="0" borderId="0" xfId="0" applyFont="1" applyFill="1" applyAlignment="1">
      <alignment horizontal="center"/>
    </xf>
    <xf numFmtId="169" fontId="26" fillId="0" borderId="0" xfId="604" applyNumberFormat="1" applyFont="1" applyFill="1" applyBorder="1" applyAlignment="1">
      <alignment horizontal="right"/>
    </xf>
    <xf numFmtId="165" fontId="21" fillId="0" borderId="0" xfId="0" applyNumberFormat="1" applyFont="1" applyAlignment="1">
      <alignment horizontal="left"/>
    </xf>
    <xf numFmtId="0" fontId="27" fillId="0" borderId="0" xfId="0" applyFont="1" applyFill="1" applyBorder="1" applyAlignment="1">
      <alignment horizontal="left"/>
    </xf>
    <xf numFmtId="0" fontId="45" fillId="0" borderId="0" xfId="0" applyNumberFormat="1" applyFont="1" applyFill="1" applyBorder="1" applyAlignment="1">
      <alignment horizontal="justify" wrapText="1"/>
    </xf>
    <xf numFmtId="0" fontId="40" fillId="0" borderId="0" xfId="0" applyFont="1" applyFill="1" applyAlignment="1">
      <alignment horizontal="center"/>
    </xf>
    <xf numFmtId="0" fontId="39" fillId="0" borderId="0" xfId="0" applyFont="1" applyFill="1" applyAlignment="1">
      <alignment horizontal="center" wrapText="1"/>
    </xf>
    <xf numFmtId="0" fontId="45" fillId="0" borderId="0" xfId="0" applyFont="1" applyFill="1" applyAlignment="1">
      <alignment horizontal="left" wrapText="1"/>
    </xf>
    <xf numFmtId="170" fontId="24" fillId="10" borderId="0" xfId="606" applyFont="1" applyFill="1" applyBorder="1" applyAlignment="1">
      <alignment horizontal="right"/>
    </xf>
    <xf numFmtId="170" fontId="46" fillId="10" borderId="0" xfId="606" applyFont="1" applyFill="1"/>
    <xf numFmtId="0" fontId="45" fillId="0" borderId="0" xfId="0" applyFont="1" applyFill="1" applyAlignment="1">
      <alignment wrapText="1"/>
    </xf>
    <xf numFmtId="0" fontId="45" fillId="0" borderId="0" xfId="0" applyFont="1" applyFill="1"/>
    <xf numFmtId="170" fontId="26" fillId="10" borderId="0" xfId="606" applyFont="1" applyFill="1" applyBorder="1" applyAlignment="1">
      <alignment horizontal="right" vertical="center"/>
    </xf>
    <xf numFmtId="170" fontId="26" fillId="10" borderId="7" xfId="606" applyFont="1" applyFill="1" applyBorder="1" applyAlignment="1">
      <alignment horizontal="right" vertical="center"/>
    </xf>
    <xf numFmtId="170" fontId="26" fillId="10" borderId="0" xfId="606" applyFont="1" applyFill="1" applyBorder="1" applyAlignment="1">
      <alignment horizontal="right"/>
    </xf>
    <xf numFmtId="170" fontId="26" fillId="10" borderId="0" xfId="606" applyFont="1" applyFill="1"/>
    <xf numFmtId="170" fontId="46" fillId="10" borderId="0" xfId="606" applyFont="1" applyFill="1" applyAlignment="1">
      <alignment horizontal="right"/>
    </xf>
    <xf numFmtId="0" fontId="45" fillId="0" borderId="0" xfId="0" applyFont="1" applyFill="1" applyAlignment="1">
      <alignment vertical="top" wrapText="1"/>
    </xf>
    <xf numFmtId="170" fontId="24" fillId="10" borderId="0" xfId="606" applyFont="1" applyFill="1"/>
    <xf numFmtId="170" fontId="50" fillId="10" borderId="0" xfId="606" applyFont="1" applyFill="1" applyBorder="1" applyAlignment="1" applyProtection="1">
      <alignment horizontal="right"/>
      <protection locked="0"/>
    </xf>
    <xf numFmtId="0" fontId="45" fillId="0" borderId="0" xfId="0" applyFont="1" applyFill="1" applyAlignment="1">
      <alignment horizontal="left" vertical="center" wrapText="1"/>
    </xf>
    <xf numFmtId="169" fontId="27" fillId="0" borderId="0" xfId="0" applyNumberFormat="1" applyFont="1" applyAlignment="1">
      <alignment horizontal="center"/>
    </xf>
    <xf numFmtId="0" fontId="45" fillId="0" borderId="0" xfId="0" applyFont="1" applyFill="1"/>
    <xf numFmtId="0" fontId="40" fillId="0" borderId="0" xfId="0" applyFont="1" applyFill="1" applyAlignment="1">
      <alignment horizontal="left" wrapText="1"/>
    </xf>
    <xf numFmtId="171" fontId="24" fillId="0" borderId="0" xfId="604" applyNumberFormat="1" applyFont="1" applyFill="1" applyBorder="1"/>
    <xf numFmtId="0" fontId="2" fillId="0" borderId="0" xfId="0" applyFont="1" applyFill="1"/>
    <xf numFmtId="0" fontId="59" fillId="0" borderId="0" xfId="0" applyFont="1" applyFill="1"/>
    <xf numFmtId="170" fontId="24" fillId="0" borderId="10" xfId="606" applyFont="1" applyFill="1" applyBorder="1" applyAlignment="1">
      <alignment horizontal="right"/>
    </xf>
    <xf numFmtId="0" fontId="29" fillId="0" borderId="0" xfId="0" applyFont="1" applyFill="1"/>
    <xf numFmtId="0" fontId="49" fillId="0" borderId="0" xfId="0" applyFont="1" applyFill="1" applyAlignment="1">
      <alignment horizontal="left" wrapText="1"/>
    </xf>
    <xf numFmtId="0" fontId="42" fillId="0" borderId="0" xfId="0" applyFont="1" applyFill="1" applyBorder="1" applyAlignment="1">
      <alignment horizontal="left"/>
    </xf>
    <xf numFmtId="171" fontId="2" fillId="0" borderId="0" xfId="0" applyNumberFormat="1" applyFont="1" applyFill="1" applyBorder="1" applyAlignment="1">
      <alignment horizontal="right"/>
    </xf>
    <xf numFmtId="171" fontId="28" fillId="0" borderId="0" xfId="0" applyNumberFormat="1" applyFont="1" applyFill="1" applyBorder="1" applyAlignment="1">
      <alignment horizontal="left"/>
    </xf>
    <xf numFmtId="171" fontId="30" fillId="0" borderId="0" xfId="0" applyNumberFormat="1" applyFont="1" applyFill="1" applyBorder="1" applyAlignment="1">
      <alignment horizontal="right"/>
    </xf>
    <xf numFmtId="0" fontId="2" fillId="0" borderId="0" xfId="0" applyFont="1" applyFill="1" applyBorder="1"/>
    <xf numFmtId="0" fontId="50" fillId="0" borderId="0" xfId="0" applyFont="1" applyFill="1" applyBorder="1"/>
    <xf numFmtId="0" fontId="24" fillId="0" borderId="0" xfId="0" applyFont="1" applyFill="1" applyBorder="1"/>
    <xf numFmtId="3" fontId="2" fillId="0" borderId="0" xfId="178" applyNumberFormat="1" applyFont="1" applyBorder="1"/>
    <xf numFmtId="164" fontId="2" fillId="0" borderId="0" xfId="608" applyNumberFormat="1" applyFont="1" applyBorder="1"/>
    <xf numFmtId="164" fontId="2" fillId="0" borderId="0" xfId="608" applyNumberFormat="1" applyFont="1" applyFill="1" applyBorder="1"/>
    <xf numFmtId="3" fontId="2" fillId="0" borderId="0" xfId="178" applyNumberFormat="1" applyFont="1" applyFill="1" applyBorder="1"/>
    <xf numFmtId="0" fontId="26" fillId="0" borderId="0" xfId="0" applyFont="1" applyFill="1" applyAlignment="1">
      <alignment horizontal="center" vertical="center"/>
    </xf>
    <xf numFmtId="0" fontId="60" fillId="0" borderId="0" xfId="0" applyFont="1" applyFill="1" applyAlignment="1">
      <alignment horizontal="center"/>
    </xf>
    <xf numFmtId="0" fontId="47" fillId="0" borderId="0" xfId="0" applyFont="1" applyAlignment="1"/>
    <xf numFmtId="164" fontId="2" fillId="0" borderId="0" xfId="0" applyNumberFormat="1" applyFont="1" applyFill="1" applyBorder="1" applyAlignment="1"/>
    <xf numFmtId="170" fontId="50" fillId="0" borderId="0" xfId="606" applyFont="1" applyFill="1" applyBorder="1" applyAlignment="1" applyProtection="1">
      <alignment vertical="center"/>
      <protection locked="0"/>
    </xf>
    <xf numFmtId="169" fontId="46" fillId="0" borderId="0" xfId="0" applyNumberFormat="1" applyFont="1" applyFill="1"/>
    <xf numFmtId="0" fontId="61" fillId="0" borderId="0" xfId="0" applyFont="1"/>
    <xf numFmtId="0" fontId="4" fillId="0" borderId="10" xfId="0" quotePrefix="1" applyFont="1" applyFill="1" applyBorder="1" applyAlignment="1">
      <alignment horizontal="left"/>
    </xf>
    <xf numFmtId="0" fontId="40" fillId="0" borderId="10" xfId="0" applyFont="1" applyFill="1" applyBorder="1" applyAlignment="1">
      <alignment horizontal="left" wrapText="1"/>
    </xf>
    <xf numFmtId="0" fontId="4" fillId="0" borderId="0" xfId="0" quotePrefix="1" applyFont="1" applyFill="1" applyBorder="1" applyAlignment="1">
      <alignment horizontal="left"/>
    </xf>
    <xf numFmtId="0" fontId="29" fillId="0" borderId="0" xfId="0" applyFont="1" applyFill="1" applyBorder="1" applyAlignment="1">
      <alignment horizontal="left"/>
    </xf>
    <xf numFmtId="0" fontId="29" fillId="0" borderId="0" xfId="0" applyFont="1" applyFill="1" applyBorder="1"/>
    <xf numFmtId="0" fontId="4" fillId="0" borderId="0" xfId="0" applyFont="1" applyFill="1" applyBorder="1"/>
    <xf numFmtId="0" fontId="2" fillId="0" borderId="0" xfId="0" applyFont="1" applyFill="1" applyBorder="1" applyAlignment="1">
      <alignment horizontal="left"/>
    </xf>
    <xf numFmtId="0" fontId="24" fillId="0" borderId="0" xfId="0" quotePrefix="1" applyFont="1" applyFill="1"/>
    <xf numFmtId="0" fontId="2" fillId="0" borderId="0" xfId="604" applyNumberFormat="1" applyFont="1" applyFill="1"/>
    <xf numFmtId="175" fontId="2" fillId="0" borderId="0" xfId="0" quotePrefix="1" applyNumberFormat="1" applyFont="1" applyFill="1" applyBorder="1" applyAlignment="1">
      <alignment horizontal="right"/>
    </xf>
    <xf numFmtId="0" fontId="61" fillId="0" borderId="0" xfId="0" applyFont="1" applyFill="1"/>
    <xf numFmtId="0" fontId="2" fillId="0" borderId="0" xfId="0" applyFont="1" applyFill="1" applyAlignment="1">
      <alignment horizontal="left"/>
    </xf>
    <xf numFmtId="0" fontId="2" fillId="0" borderId="0" xfId="0" applyFont="1" applyFill="1" applyAlignment="1">
      <alignment horizontal="left" indent="1"/>
    </xf>
    <xf numFmtId="175" fontId="24" fillId="0" borderId="0" xfId="0" quotePrefix="1" applyNumberFormat="1" applyFont="1" applyFill="1" applyBorder="1" applyAlignment="1">
      <alignment horizontal="right"/>
    </xf>
    <xf numFmtId="0" fontId="2" fillId="0" borderId="0" xfId="604" applyNumberFormat="1" applyFont="1" applyFill="1" applyAlignment="1">
      <alignment horizontal="left" indent="1"/>
    </xf>
    <xf numFmtId="0" fontId="2" fillId="0" borderId="0" xfId="604" applyNumberFormat="1" applyFont="1" applyFill="1" applyAlignment="1">
      <alignment horizontal="right"/>
    </xf>
    <xf numFmtId="0" fontId="29" fillId="0" borderId="0" xfId="0" applyFont="1" applyFill="1" applyAlignment="1">
      <alignment horizontal="left"/>
    </xf>
    <xf numFmtId="0" fontId="4" fillId="0" borderId="0" xfId="0" quotePrefix="1" applyFont="1" applyFill="1" applyAlignment="1">
      <alignment horizontal="left"/>
    </xf>
    <xf numFmtId="0" fontId="4" fillId="0" borderId="0" xfId="604" applyNumberFormat="1" applyFont="1" applyFill="1"/>
    <xf numFmtId="0" fontId="29" fillId="0" borderId="0" xfId="604" applyNumberFormat="1" applyFont="1" applyFill="1"/>
    <xf numFmtId="175" fontId="29" fillId="0" borderId="0" xfId="0" quotePrefix="1" applyNumberFormat="1" applyFont="1" applyFill="1" applyBorder="1" applyAlignment="1">
      <alignment horizontal="right"/>
    </xf>
    <xf numFmtId="0" fontId="29" fillId="0" borderId="0" xfId="604" applyNumberFormat="1" applyFont="1" applyFill="1" applyBorder="1"/>
    <xf numFmtId="0" fontId="4" fillId="0" borderId="0" xfId="0" quotePrefix="1" applyFont="1" applyFill="1"/>
    <xf numFmtId="0" fontId="4" fillId="0" borderId="0" xfId="0" quotePrefix="1" applyFont="1" applyFill="1" applyAlignment="1">
      <alignment horizontal="right"/>
    </xf>
    <xf numFmtId="0" fontId="29" fillId="0" borderId="0" xfId="604" applyNumberFormat="1" applyFont="1" applyFill="1" applyBorder="1" applyAlignment="1">
      <alignment horizontal="right"/>
    </xf>
    <xf numFmtId="180" fontId="24" fillId="0" borderId="0" xfId="0" applyNumberFormat="1" applyFont="1" applyFill="1"/>
    <xf numFmtId="9" fontId="24" fillId="0" borderId="0" xfId="0" quotePrefix="1" applyNumberFormat="1" applyFont="1" applyFill="1" applyBorder="1" applyAlignment="1">
      <alignment horizontal="right"/>
    </xf>
    <xf numFmtId="180" fontId="2" fillId="0" borderId="0" xfId="0" applyNumberFormat="1" applyFont="1" applyFill="1"/>
    <xf numFmtId="0" fontId="2" fillId="0" borderId="0" xfId="604" applyNumberFormat="1" applyFont="1" applyFill="1" applyAlignment="1">
      <alignment horizontal="left" vertical="top" wrapText="1" indent="1"/>
    </xf>
    <xf numFmtId="9" fontId="24" fillId="0" borderId="0" xfId="0" applyNumberFormat="1" applyFont="1" applyFill="1" applyAlignment="1">
      <alignment horizontal="right"/>
    </xf>
    <xf numFmtId="0" fontId="24" fillId="0" borderId="0" xfId="604" applyNumberFormat="1" applyFont="1" applyFill="1"/>
    <xf numFmtId="180" fontId="24" fillId="0" borderId="11" xfId="0" applyNumberFormat="1" applyFont="1" applyFill="1" applyBorder="1"/>
    <xf numFmtId="9" fontId="24" fillId="0" borderId="11" xfId="0" applyNumberFormat="1" applyFont="1" applyFill="1" applyBorder="1"/>
    <xf numFmtId="9" fontId="2" fillId="0" borderId="11" xfId="0" applyNumberFormat="1" applyFont="1" applyFill="1" applyBorder="1"/>
    <xf numFmtId="0" fontId="29" fillId="0" borderId="0" xfId="604" applyNumberFormat="1" applyFont="1" applyFill="1" applyAlignment="1">
      <alignment horizontal="center"/>
    </xf>
    <xf numFmtId="0" fontId="4" fillId="0" borderId="0" xfId="604" applyNumberFormat="1" applyFont="1" applyFill="1" applyBorder="1" applyAlignment="1">
      <alignment horizontal="center"/>
    </xf>
    <xf numFmtId="181" fontId="4" fillId="0" borderId="0" xfId="0" applyNumberFormat="1" applyFont="1" applyFill="1" applyBorder="1" applyAlignment="1">
      <alignment horizontal="left"/>
    </xf>
    <xf numFmtId="0" fontId="29" fillId="0" borderId="0" xfId="0" applyFont="1" applyFill="1" applyAlignment="1">
      <alignment horizontal="right"/>
    </xf>
    <xf numFmtId="0" fontId="29" fillId="0" borderId="0" xfId="604" applyNumberFormat="1" applyFont="1" applyFill="1" applyAlignment="1">
      <alignment horizontal="right"/>
    </xf>
    <xf numFmtId="175" fontId="4" fillId="0" borderId="0" xfId="0" quotePrefix="1" applyNumberFormat="1" applyFont="1" applyFill="1" applyBorder="1" applyAlignment="1">
      <alignment horizontal="right"/>
    </xf>
    <xf numFmtId="178" fontId="2" fillId="0" borderId="0" xfId="0" applyNumberFormat="1" applyFont="1" applyFill="1" applyBorder="1" applyAlignment="1">
      <alignment horizontal="left"/>
    </xf>
    <xf numFmtId="0" fontId="2" fillId="0" borderId="0" xfId="0" applyFont="1" applyFill="1" applyAlignment="1">
      <alignment horizontal="right"/>
    </xf>
    <xf numFmtId="178" fontId="29" fillId="0" borderId="0" xfId="0" applyNumberFormat="1" applyFont="1" applyFill="1" applyBorder="1" applyAlignment="1">
      <alignment horizontal="left"/>
    </xf>
    <xf numFmtId="0" fontId="4" fillId="0" borderId="0" xfId="604" applyNumberFormat="1" applyFont="1" applyFill="1" applyAlignment="1">
      <alignment horizontal="right"/>
    </xf>
    <xf numFmtId="175" fontId="2" fillId="0" borderId="0" xfId="0" applyNumberFormat="1" applyFont="1" applyFill="1" applyBorder="1" applyAlignment="1"/>
    <xf numFmtId="181" fontId="4" fillId="0" borderId="0" xfId="0" quotePrefix="1" applyNumberFormat="1" applyFont="1" applyFill="1" applyBorder="1" applyAlignment="1">
      <alignment horizontal="left"/>
    </xf>
    <xf numFmtId="0" fontId="4" fillId="0" borderId="0" xfId="0" applyFont="1" applyFill="1"/>
    <xf numFmtId="0" fontId="4" fillId="0" borderId="0" xfId="0" applyFont="1" applyFill="1" applyAlignment="1">
      <alignment horizontal="right"/>
    </xf>
    <xf numFmtId="0" fontId="29" fillId="0" borderId="0" xfId="0" applyFont="1" applyFill="1" applyAlignment="1">
      <alignment horizontal="right" wrapText="1"/>
    </xf>
    <xf numFmtId="0" fontId="2" fillId="0" borderId="0" xfId="604" applyNumberFormat="1" applyFont="1" applyFill="1" applyBorder="1" applyAlignment="1">
      <alignment horizontal="left" indent="1"/>
    </xf>
    <xf numFmtId="0" fontId="2" fillId="0" borderId="0" xfId="604" applyNumberFormat="1" applyFont="1" applyFill="1" applyBorder="1" applyAlignment="1">
      <alignment horizontal="right"/>
    </xf>
    <xf numFmtId="0" fontId="29" fillId="0" borderId="0" xfId="604" applyNumberFormat="1" applyFont="1" applyFill="1" applyAlignment="1">
      <alignment horizontal="left" indent="1"/>
    </xf>
    <xf numFmtId="180" fontId="4" fillId="0" borderId="0" xfId="0" applyNumberFormat="1" applyFont="1" applyFill="1"/>
    <xf numFmtId="180" fontId="29" fillId="0" borderId="0" xfId="0" applyNumberFormat="1" applyFont="1" applyFill="1"/>
    <xf numFmtId="0" fontId="29" fillId="0" borderId="0" xfId="0" quotePrefix="1" applyFont="1" applyFill="1" applyAlignment="1">
      <alignment horizontal="right"/>
    </xf>
    <xf numFmtId="180" fontId="24" fillId="0" borderId="0" xfId="0" applyNumberFormat="1" applyFont="1" applyFill="1" applyBorder="1"/>
    <xf numFmtId="0" fontId="2" fillId="0" borderId="0" xfId="604" applyNumberFormat="1" applyFont="1" applyFill="1" applyAlignment="1">
      <alignment horizontal="center"/>
    </xf>
    <xf numFmtId="180" fontId="4" fillId="0" borderId="0" xfId="0" applyNumberFormat="1" applyFont="1" applyFill="1" applyBorder="1"/>
    <xf numFmtId="0" fontId="4" fillId="0" borderId="0" xfId="604" applyNumberFormat="1" applyFont="1" applyFill="1" applyBorder="1" applyAlignment="1">
      <alignment horizontal="right" vertical="top" wrapText="1"/>
    </xf>
    <xf numFmtId="0" fontId="4" fillId="0" borderId="0" xfId="0" applyFont="1" applyFill="1" applyBorder="1" applyAlignment="1">
      <alignment horizontal="right"/>
    </xf>
    <xf numFmtId="0" fontId="29" fillId="0" borderId="0" xfId="604" applyNumberFormat="1" applyFont="1" applyFill="1" applyBorder="1" applyAlignment="1">
      <alignment horizontal="center"/>
    </xf>
    <xf numFmtId="0" fontId="24" fillId="0" borderId="0" xfId="0" applyFont="1" applyFill="1"/>
    <xf numFmtId="0" fontId="2" fillId="0" borderId="0" xfId="0" applyFont="1" applyFill="1" applyAlignment="1">
      <alignment horizontal="center"/>
    </xf>
    <xf numFmtId="0" fontId="29" fillId="0" borderId="0" xfId="0" applyFont="1" applyFill="1" applyBorder="1" applyAlignment="1">
      <alignment horizontal="right"/>
    </xf>
    <xf numFmtId="0" fontId="29" fillId="0" borderId="0" xfId="0" applyFont="1" applyFill="1" applyAlignment="1">
      <alignment horizontal="center"/>
    </xf>
    <xf numFmtId="0" fontId="3" fillId="0" borderId="0" xfId="0" applyFont="1" applyFill="1"/>
    <xf numFmtId="171" fontId="4" fillId="0" borderId="0" xfId="0" applyNumberFormat="1" applyFont="1" applyFill="1" applyBorder="1" applyAlignment="1">
      <alignment horizontal="center" vertical="center" wrapText="1"/>
    </xf>
    <xf numFmtId="171" fontId="4" fillId="0" borderId="7" xfId="0" applyNumberFormat="1" applyFont="1" applyFill="1" applyBorder="1" applyAlignment="1">
      <alignment horizontal="right" vertical="center" wrapText="1"/>
    </xf>
    <xf numFmtId="0" fontId="39" fillId="0" borderId="0" xfId="0" applyFont="1" applyFill="1" applyBorder="1" applyAlignment="1">
      <alignment horizontal="right"/>
    </xf>
    <xf numFmtId="170" fontId="24" fillId="0" borderId="13" xfId="606" applyFont="1" applyFill="1" applyBorder="1"/>
    <xf numFmtId="171" fontId="50" fillId="0" borderId="0" xfId="0" applyNumberFormat="1" applyFont="1" applyFill="1" applyBorder="1" applyAlignment="1">
      <alignment horizontal="right"/>
    </xf>
    <xf numFmtId="171" fontId="50" fillId="0" borderId="0" xfId="0" applyNumberFormat="1" applyFont="1" applyFill="1" applyBorder="1" applyAlignment="1"/>
    <xf numFmtId="171" fontId="24" fillId="0" borderId="9" xfId="0" applyNumberFormat="1" applyFont="1" applyFill="1" applyBorder="1" applyAlignment="1">
      <alignment horizontal="right"/>
    </xf>
    <xf numFmtId="0" fontId="58" fillId="0" borderId="0" xfId="0" applyFont="1" applyFill="1" applyBorder="1"/>
    <xf numFmtId="0" fontId="49" fillId="0" borderId="0" xfId="0" applyFont="1" applyFill="1" applyBorder="1"/>
    <xf numFmtId="178" fontId="29" fillId="0" borderId="10" xfId="0" applyNumberFormat="1" applyFont="1" applyFill="1" applyBorder="1" applyAlignment="1">
      <alignment horizontal="left"/>
    </xf>
    <xf numFmtId="0" fontId="29" fillId="0" borderId="10" xfId="0" applyFont="1" applyFill="1" applyBorder="1"/>
    <xf numFmtId="0" fontId="2" fillId="0" borderId="0" xfId="0" applyFont="1" applyFill="1" applyBorder="1" applyAlignment="1">
      <alignment horizontal="justify" vertical="top" wrapText="1"/>
    </xf>
    <xf numFmtId="0" fontId="45" fillId="0" borderId="0" xfId="0" applyFont="1" applyFill="1" applyAlignment="1">
      <alignment horizontal="left" wrapText="1"/>
    </xf>
    <xf numFmtId="0" fontId="45" fillId="0" borderId="0" xfId="0" applyFont="1" applyFill="1"/>
    <xf numFmtId="0" fontId="21" fillId="0" borderId="0" xfId="0" applyNumberFormat="1" applyFont="1" applyFill="1" applyAlignment="1">
      <alignment horizontal="justify" wrapText="1"/>
    </xf>
    <xf numFmtId="0" fontId="45" fillId="0" borderId="0" xfId="0" applyNumberFormat="1" applyFont="1" applyFill="1" applyAlignment="1">
      <alignment horizontal="justify" wrapText="1"/>
    </xf>
    <xf numFmtId="0" fontId="39" fillId="0" borderId="0" xfId="0" applyFont="1" applyFill="1" applyAlignment="1">
      <alignment horizontal="left" vertical="top" wrapText="1"/>
    </xf>
    <xf numFmtId="0" fontId="2" fillId="0" borderId="0" xfId="604" applyNumberFormat="1" applyFont="1" applyFill="1" applyAlignment="1">
      <alignment wrapText="1"/>
    </xf>
    <xf numFmtId="178" fontId="26" fillId="0" borderId="0" xfId="604" applyNumberFormat="1" applyFont="1" applyFill="1" applyAlignment="1">
      <alignment horizontal="center" wrapText="1"/>
    </xf>
    <xf numFmtId="0" fontId="40" fillId="0" borderId="0" xfId="0" applyFont="1" applyFill="1" applyAlignment="1">
      <alignment horizontal="center"/>
    </xf>
    <xf numFmtId="170" fontId="21" fillId="0" borderId="9" xfId="606" applyFont="1" applyFill="1" applyBorder="1" applyAlignment="1">
      <alignment vertical="center"/>
    </xf>
    <xf numFmtId="0" fontId="45" fillId="0" borderId="0" xfId="0" applyFont="1" applyFill="1"/>
    <xf numFmtId="0" fontId="2" fillId="0" borderId="0" xfId="0" applyFont="1" applyFill="1"/>
    <xf numFmtId="180" fontId="24" fillId="0" borderId="0" xfId="0" applyNumberFormat="1" applyFont="1" applyFill="1" applyAlignment="1">
      <alignment horizontal="right"/>
    </xf>
    <xf numFmtId="0" fontId="2" fillId="0" borderId="0" xfId="0" applyFont="1" applyFill="1" applyBorder="1" applyAlignment="1">
      <alignment horizontal="justify" vertical="justify" wrapText="1"/>
    </xf>
    <xf numFmtId="2" fontId="23" fillId="0" borderId="0" xfId="0" applyNumberFormat="1" applyFont="1" applyFill="1" applyBorder="1"/>
    <xf numFmtId="0" fontId="27" fillId="0" borderId="0" xfId="0" applyFont="1" applyFill="1" applyAlignment="1">
      <alignment horizontal="center"/>
    </xf>
    <xf numFmtId="0" fontId="52" fillId="0" borderId="0" xfId="0" applyNumberFormat="1" applyFont="1" applyFill="1" applyAlignment="1">
      <alignment wrapText="1"/>
    </xf>
    <xf numFmtId="0" fontId="53" fillId="0" borderId="0" xfId="0" applyFont="1" applyAlignment="1">
      <alignment horizontal="center"/>
    </xf>
    <xf numFmtId="170" fontId="3" fillId="0" borderId="9" xfId="606" applyFont="1" applyFill="1" applyBorder="1" applyAlignment="1">
      <alignment vertical="center"/>
    </xf>
    <xf numFmtId="0" fontId="2" fillId="0" borderId="0" xfId="0" applyFont="1" applyFill="1"/>
    <xf numFmtId="0" fontId="39" fillId="0" borderId="0" xfId="0" applyFont="1" applyFill="1" applyAlignment="1">
      <alignment horizontal="center"/>
    </xf>
    <xf numFmtId="170" fontId="51" fillId="0" borderId="0" xfId="606" applyFont="1" applyFill="1" applyBorder="1"/>
    <xf numFmtId="0" fontId="39" fillId="0" borderId="0" xfId="0" applyFont="1" applyFill="1" applyAlignment="1"/>
    <xf numFmtId="170" fontId="66" fillId="0" borderId="0" xfId="606" applyFont="1" applyFill="1" applyBorder="1"/>
    <xf numFmtId="169" fontId="40" fillId="0" borderId="0" xfId="0" applyNumberFormat="1" applyFont="1" applyFill="1" applyBorder="1"/>
    <xf numFmtId="0" fontId="64" fillId="0" borderId="0" xfId="0" applyFont="1" applyFill="1" applyAlignment="1">
      <alignment horizontal="left" textRotation="45"/>
    </xf>
    <xf numFmtId="171" fontId="2" fillId="0" borderId="0" xfId="604" applyNumberFormat="1" applyFont="1" applyFill="1" applyBorder="1" applyAlignment="1">
      <alignment vertical="center" wrapText="1"/>
    </xf>
    <xf numFmtId="0" fontId="65" fillId="0" borderId="0" xfId="0" applyFont="1" applyFill="1" applyBorder="1"/>
    <xf numFmtId="0" fontId="40" fillId="0" borderId="0" xfId="0" applyFont="1" applyFill="1" applyAlignment="1">
      <alignment horizontal="center"/>
    </xf>
    <xf numFmtId="0" fontId="45" fillId="0" borderId="0" xfId="0" applyFont="1" applyFill="1"/>
    <xf numFmtId="3" fontId="39" fillId="0" borderId="0" xfId="0" applyNumberFormat="1" applyFont="1" applyFill="1"/>
    <xf numFmtId="176" fontId="46" fillId="0" borderId="0" xfId="611" applyNumberFormat="1" applyFont="1" applyFill="1" applyAlignment="1">
      <alignment horizontal="right"/>
    </xf>
    <xf numFmtId="176" fontId="46" fillId="0" borderId="9" xfId="611" applyNumberFormat="1" applyFont="1" applyFill="1" applyBorder="1" applyAlignment="1">
      <alignment horizontal="right"/>
    </xf>
    <xf numFmtId="0" fontId="2" fillId="0" borderId="0" xfId="0" applyFont="1" applyFill="1"/>
    <xf numFmtId="170" fontId="2" fillId="10" borderId="0" xfId="606" applyFont="1" applyFill="1" applyBorder="1" applyAlignment="1">
      <alignment horizontal="right"/>
    </xf>
    <xf numFmtId="170" fontId="2" fillId="10" borderId="0" xfId="606" applyFont="1" applyFill="1" applyBorder="1" applyAlignment="1" applyProtection="1">
      <alignment horizontal="right"/>
      <protection locked="0"/>
    </xf>
    <xf numFmtId="170" fontId="45" fillId="10" borderId="0" xfId="606" applyFont="1" applyFill="1"/>
    <xf numFmtId="176" fontId="23" fillId="0" borderId="0" xfId="611" applyNumberFormat="1" applyFont="1" applyFill="1" applyAlignment="1">
      <alignment horizontal="right"/>
    </xf>
    <xf numFmtId="170" fontId="45" fillId="10" borderId="0" xfId="606" applyFont="1" applyFill="1" applyAlignment="1">
      <alignment horizontal="right"/>
    </xf>
    <xf numFmtId="0" fontId="2" fillId="0" borderId="0" xfId="0" applyFont="1" applyAlignment="1">
      <alignment horizontal="justify" wrapText="1"/>
    </xf>
    <xf numFmtId="170" fontId="46" fillId="0" borderId="0" xfId="606" applyFont="1" applyFill="1" applyAlignment="1"/>
    <xf numFmtId="0" fontId="45" fillId="0" borderId="0" xfId="0" applyFont="1" applyFill="1" applyAlignment="1">
      <alignment horizontal="left" vertical="center" wrapText="1"/>
    </xf>
    <xf numFmtId="0" fontId="45" fillId="0" borderId="0" xfId="0" applyFont="1" applyFill="1"/>
    <xf numFmtId="170" fontId="27" fillId="0" borderId="0" xfId="606" applyFont="1" applyFill="1" applyAlignment="1">
      <alignment vertical="center"/>
    </xf>
    <xf numFmtId="170" fontId="27" fillId="0" borderId="0" xfId="606" applyFont="1" applyFill="1" applyBorder="1" applyAlignment="1">
      <alignment vertical="center"/>
    </xf>
    <xf numFmtId="170" fontId="26" fillId="0" borderId="9" xfId="606" applyFont="1" applyFill="1" applyBorder="1" applyAlignment="1">
      <alignment vertical="center"/>
    </xf>
    <xf numFmtId="170" fontId="3" fillId="0" borderId="9" xfId="606" applyFont="1" applyFill="1" applyBorder="1" applyAlignment="1">
      <alignment horizontal="right" vertical="center"/>
    </xf>
    <xf numFmtId="1" fontId="39" fillId="0" borderId="0" xfId="0" applyNumberFormat="1" applyFont="1" applyFill="1"/>
    <xf numFmtId="0" fontId="32" fillId="0" borderId="0" xfId="0" applyFont="1" applyFill="1" applyBorder="1" applyAlignment="1">
      <alignment horizontal="justify" wrapText="1"/>
    </xf>
    <xf numFmtId="0" fontId="2" fillId="0" borderId="0" xfId="0" applyFont="1" applyFill="1" applyBorder="1" applyAlignment="1">
      <alignment horizontal="justify"/>
    </xf>
    <xf numFmtId="170" fontId="67" fillId="0" borderId="0" xfId="606" applyFont="1" applyFill="1" applyBorder="1" applyAlignment="1" applyProtection="1">
      <alignment horizontal="right" vertical="center"/>
    </xf>
    <xf numFmtId="170" fontId="21" fillId="0" borderId="10" xfId="606" applyFont="1" applyFill="1" applyBorder="1"/>
    <xf numFmtId="170" fontId="67" fillId="0" borderId="0" xfId="606" applyFont="1" applyFill="1" applyBorder="1" applyAlignment="1" applyProtection="1">
      <alignment horizontal="right" vertical="center"/>
      <protection locked="0"/>
    </xf>
    <xf numFmtId="170" fontId="67" fillId="0" borderId="0" xfId="606" applyFont="1" applyFill="1" applyBorder="1" applyAlignment="1" applyProtection="1">
      <alignment vertical="center"/>
      <protection locked="0"/>
    </xf>
    <xf numFmtId="170" fontId="21" fillId="0" borderId="9" xfId="606" applyFont="1" applyFill="1" applyBorder="1"/>
    <xf numFmtId="169" fontId="3" fillId="0" borderId="0" xfId="604" applyNumberFormat="1" applyFont="1" applyFill="1" applyBorder="1" applyAlignment="1">
      <alignment horizontal="right"/>
    </xf>
    <xf numFmtId="169" fontId="3" fillId="0" borderId="0" xfId="604" applyNumberFormat="1" applyFont="1" applyFill="1" applyBorder="1" applyAlignment="1">
      <alignment horizontal="right" wrapText="1"/>
    </xf>
    <xf numFmtId="170" fontId="1" fillId="0" borderId="0" xfId="606" applyFont="1" applyFill="1"/>
    <xf numFmtId="170" fontId="3" fillId="10" borderId="0" xfId="606" applyFont="1" applyFill="1" applyBorder="1" applyAlignment="1">
      <alignment horizontal="right"/>
    </xf>
    <xf numFmtId="170" fontId="3" fillId="0" borderId="8" xfId="606" applyFont="1" applyFill="1" applyBorder="1" applyAlignment="1">
      <alignment horizontal="right"/>
    </xf>
    <xf numFmtId="170" fontId="3" fillId="0" borderId="7" xfId="606" applyFont="1" applyFill="1" applyBorder="1" applyAlignment="1">
      <alignment horizontal="right"/>
    </xf>
    <xf numFmtId="170" fontId="3" fillId="10" borderId="0" xfId="606" applyFont="1" applyFill="1"/>
    <xf numFmtId="170" fontId="3" fillId="0" borderId="9" xfId="606" applyFont="1" applyFill="1" applyBorder="1" applyAlignment="1">
      <alignment horizontal="right"/>
    </xf>
    <xf numFmtId="170" fontId="3" fillId="0" borderId="0" xfId="606" applyFont="1" applyFill="1" applyBorder="1" applyAlignment="1">
      <alignment horizontal="right"/>
    </xf>
    <xf numFmtId="0" fontId="56" fillId="0" borderId="0" xfId="0" applyFont="1" applyFill="1" applyAlignment="1">
      <alignment horizontal="right"/>
    </xf>
    <xf numFmtId="170" fontId="3" fillId="10" borderId="0" xfId="606" applyFont="1" applyFill="1" applyBorder="1" applyAlignment="1">
      <alignment horizontal="right" vertical="center"/>
    </xf>
    <xf numFmtId="170" fontId="3" fillId="0" borderId="7" xfId="606" applyFont="1" applyFill="1" applyBorder="1" applyAlignment="1">
      <alignment horizontal="right" vertical="center"/>
    </xf>
    <xf numFmtId="170" fontId="3" fillId="10" borderId="7" xfId="606" applyFont="1" applyFill="1" applyBorder="1" applyAlignment="1">
      <alignment horizontal="right" vertical="center"/>
    </xf>
    <xf numFmtId="170" fontId="21" fillId="0" borderId="7" xfId="606" applyFont="1" applyFill="1" applyBorder="1" applyAlignment="1">
      <alignment horizontal="right" vertical="center"/>
    </xf>
    <xf numFmtId="170" fontId="21" fillId="0" borderId="8" xfId="606" applyFont="1" applyFill="1" applyBorder="1" applyAlignment="1">
      <alignment horizontal="right" vertical="center"/>
    </xf>
    <xf numFmtId="170" fontId="3" fillId="0" borderId="0" xfId="606" applyFont="1" applyFill="1" applyAlignment="1">
      <alignment horizontal="right" vertical="center"/>
    </xf>
    <xf numFmtId="170" fontId="21" fillId="0" borderId="0" xfId="606" applyFont="1" applyFill="1" applyBorder="1" applyAlignment="1">
      <alignment horizontal="right" vertical="center"/>
    </xf>
    <xf numFmtId="170" fontId="21" fillId="0" borderId="9" xfId="606" applyFont="1" applyFill="1" applyBorder="1" applyAlignment="1">
      <alignment horizontal="right" vertical="center"/>
    </xf>
    <xf numFmtId="171" fontId="4" fillId="0" borderId="0" xfId="0" quotePrefix="1" applyNumberFormat="1" applyFont="1" applyFill="1" applyAlignment="1">
      <alignment horizontal="center"/>
    </xf>
    <xf numFmtId="0" fontId="45" fillId="0" borderId="0" xfId="0" applyFont="1" applyFill="1" applyAlignment="1">
      <alignment horizontal="justify" wrapText="1"/>
    </xf>
    <xf numFmtId="0" fontId="45" fillId="0" borderId="0" xfId="0" applyFont="1" applyFill="1"/>
    <xf numFmtId="0" fontId="2" fillId="0" borderId="0" xfId="0" applyFont="1" applyFill="1" applyAlignment="1">
      <alignment horizontal="justify" wrapText="1"/>
    </xf>
    <xf numFmtId="0" fontId="40" fillId="0" borderId="0" xfId="0" applyFont="1" applyFill="1" applyAlignment="1">
      <alignment horizontal="justify" wrapText="1"/>
    </xf>
    <xf numFmtId="176" fontId="46" fillId="0" borderId="0" xfId="611" applyNumberFormat="1" applyFont="1" applyFill="1" applyBorder="1" applyAlignment="1">
      <alignment horizontal="right"/>
    </xf>
    <xf numFmtId="0" fontId="46" fillId="0" borderId="0" xfId="0" applyFont="1" applyFill="1" applyAlignment="1">
      <alignment horizontal="right" wrapText="1"/>
    </xf>
    <xf numFmtId="170" fontId="24" fillId="10" borderId="0" xfId="606" applyFont="1" applyFill="1" applyBorder="1" applyAlignment="1" applyProtection="1">
      <alignment horizontal="right"/>
      <protection locked="0"/>
    </xf>
    <xf numFmtId="170" fontId="30" fillId="0" borderId="0" xfId="606" applyFont="1" applyFill="1" applyBorder="1" applyAlignment="1" applyProtection="1">
      <alignment vertical="center"/>
      <protection locked="0"/>
    </xf>
    <xf numFmtId="0" fontId="40" fillId="0" borderId="0" xfId="0" applyFont="1" applyFill="1" applyAlignment="1"/>
    <xf numFmtId="170" fontId="45" fillId="0" borderId="8" xfId="606" applyFont="1" applyFill="1" applyBorder="1"/>
    <xf numFmtId="0" fontId="45" fillId="0" borderId="0" xfId="0" applyFont="1" applyFill="1"/>
    <xf numFmtId="170" fontId="2" fillId="0" borderId="0" xfId="0" applyNumberFormat="1" applyFont="1" applyFill="1" applyBorder="1" applyAlignment="1" applyProtection="1"/>
    <xf numFmtId="0" fontId="45" fillId="0" borderId="9" xfId="0" applyFont="1" applyFill="1" applyBorder="1"/>
    <xf numFmtId="176" fontId="45" fillId="0" borderId="9" xfId="611" applyNumberFormat="1" applyFont="1" applyFill="1" applyBorder="1"/>
    <xf numFmtId="171" fontId="29" fillId="0" borderId="0" xfId="0" quotePrefix="1" applyNumberFormat="1" applyFont="1" applyFill="1" applyAlignment="1">
      <alignment horizontal="center"/>
    </xf>
    <xf numFmtId="0" fontId="40" fillId="0" borderId="0" xfId="0" applyFont="1" applyFill="1" applyAlignment="1">
      <alignment horizontal="justify"/>
    </xf>
    <xf numFmtId="0" fontId="2" fillId="0" borderId="12" xfId="0" applyFont="1" applyFill="1" applyBorder="1" applyAlignment="1">
      <alignment horizontal="right"/>
    </xf>
    <xf numFmtId="175" fontId="24" fillId="0" borderId="12" xfId="0" applyNumberFormat="1" applyFont="1" applyFill="1" applyBorder="1"/>
    <xf numFmtId="179" fontId="24" fillId="0" borderId="12" xfId="0" applyNumberFormat="1" applyFont="1" applyFill="1" applyBorder="1"/>
    <xf numFmtId="0" fontId="2" fillId="0" borderId="0" xfId="0" applyFont="1" applyFill="1" applyAlignment="1">
      <alignment wrapText="1"/>
    </xf>
    <xf numFmtId="0" fontId="45" fillId="0" borderId="0" xfId="0" applyFont="1" applyFill="1"/>
    <xf numFmtId="0" fontId="2" fillId="0" borderId="0" xfId="0" applyNumberFormat="1" applyFont="1" applyFill="1" applyAlignment="1">
      <alignment wrapText="1"/>
    </xf>
    <xf numFmtId="0" fontId="45" fillId="0" borderId="0" xfId="0" applyNumberFormat="1" applyFont="1" applyFill="1" applyAlignment="1">
      <alignment wrapText="1"/>
    </xf>
    <xf numFmtId="0" fontId="21" fillId="0" borderId="0" xfId="0" applyFont="1" applyFill="1" applyAlignment="1">
      <alignment horizontal="center" vertical="center"/>
    </xf>
    <xf numFmtId="0" fontId="3" fillId="0" borderId="0" xfId="0" applyFont="1" applyFill="1" applyAlignment="1">
      <alignment horizontal="center" vertical="center"/>
    </xf>
    <xf numFmtId="0" fontId="68" fillId="0" borderId="0" xfId="0" applyFont="1" applyFill="1" applyAlignment="1">
      <alignment horizontal="center"/>
    </xf>
    <xf numFmtId="0" fontId="21" fillId="0" borderId="0" xfId="0" applyFont="1" applyAlignment="1">
      <alignment horizontal="center"/>
    </xf>
    <xf numFmtId="0" fontId="3" fillId="0" borderId="0" xfId="0" applyFont="1" applyAlignment="1">
      <alignment horizontal="center"/>
    </xf>
    <xf numFmtId="170" fontId="30" fillId="0" borderId="8" xfId="606" applyFont="1" applyFill="1" applyBorder="1" applyAlignment="1" applyProtection="1">
      <alignment horizontal="right"/>
      <protection locked="0"/>
    </xf>
    <xf numFmtId="170" fontId="41" fillId="0" borderId="8" xfId="606" applyFont="1" applyFill="1" applyBorder="1" applyAlignment="1">
      <alignment horizontal="right"/>
    </xf>
    <xf numFmtId="170" fontId="29" fillId="0" borderId="0" xfId="606" applyFont="1" applyFill="1" applyBorder="1"/>
    <xf numFmtId="3" fontId="46" fillId="0" borderId="0" xfId="0" applyNumberFormat="1" applyFont="1" applyFill="1"/>
    <xf numFmtId="0" fontId="40" fillId="0" borderId="0" xfId="0" applyFont="1" applyFill="1" applyAlignment="1">
      <alignment horizontal="right" wrapText="1"/>
    </xf>
    <xf numFmtId="0" fontId="4" fillId="0" borderId="0" xfId="208" quotePrefix="1" applyFont="1" applyFill="1" applyBorder="1" applyAlignment="1">
      <alignment horizontal="right" wrapText="1" indent="1"/>
    </xf>
    <xf numFmtId="0" fontId="40" fillId="0" borderId="0" xfId="0" applyFont="1" applyFill="1" applyAlignment="1">
      <alignment horizontal="right" indent="1"/>
    </xf>
    <xf numFmtId="176" fontId="46" fillId="0" borderId="0" xfId="611" applyNumberFormat="1" applyFont="1" applyFill="1" applyAlignment="1">
      <alignment horizontal="right" indent="1"/>
    </xf>
    <xf numFmtId="176" fontId="46" fillId="0" borderId="9" xfId="611" applyNumberFormat="1" applyFont="1" applyFill="1" applyBorder="1" applyAlignment="1">
      <alignment horizontal="right" indent="1"/>
    </xf>
    <xf numFmtId="0" fontId="45" fillId="0" borderId="0" xfId="0" applyFont="1" applyFill="1" applyAlignment="1">
      <alignment vertical="center"/>
    </xf>
    <xf numFmtId="170" fontId="4" fillId="0" borderId="0" xfId="606" applyFont="1" applyFill="1" applyBorder="1" applyAlignment="1">
      <alignment horizontal="right" vertical="top" wrapText="1"/>
    </xf>
    <xf numFmtId="0" fontId="39" fillId="0" borderId="0" xfId="0" applyFont="1" applyFill="1" applyAlignment="1">
      <alignment horizontal="right" vertical="top" wrapText="1"/>
    </xf>
    <xf numFmtId="0" fontId="0" fillId="0" borderId="0" xfId="0" applyFill="1" applyAlignment="1">
      <alignment vertical="top"/>
    </xf>
    <xf numFmtId="170" fontId="29" fillId="0" borderId="0" xfId="606" applyFont="1" applyFill="1" applyBorder="1" applyAlignment="1">
      <alignment horizontal="right" vertical="top" wrapText="1"/>
    </xf>
    <xf numFmtId="171" fontId="2" fillId="0" borderId="0" xfId="0" applyNumberFormat="1" applyFont="1" applyFill="1" applyBorder="1" applyAlignment="1">
      <alignment wrapText="1"/>
    </xf>
    <xf numFmtId="170" fontId="46" fillId="10" borderId="0" xfId="606" applyFont="1" applyFill="1" applyAlignment="1">
      <alignment horizontal="right" vertical="center"/>
    </xf>
    <xf numFmtId="170" fontId="45" fillId="0" borderId="0" xfId="606" applyFont="1" applyFill="1" applyAlignment="1">
      <alignment horizontal="right" vertical="center"/>
    </xf>
    <xf numFmtId="0" fontId="0" fillId="0" borderId="0" xfId="0" applyFill="1" applyAlignment="1">
      <alignment horizontal="left" wrapText="1"/>
    </xf>
    <xf numFmtId="0" fontId="0" fillId="0" borderId="0" xfId="0" applyFill="1" applyAlignment="1">
      <alignment wrapText="1"/>
    </xf>
    <xf numFmtId="0" fontId="39" fillId="0" borderId="0" xfId="0" applyFont="1" applyFill="1" applyAlignment="1">
      <alignment vertical="top" wrapText="1"/>
    </xf>
    <xf numFmtId="0" fontId="0" fillId="0" borderId="0" xfId="0" applyFill="1" applyAlignment="1">
      <alignment vertical="top" wrapText="1"/>
    </xf>
    <xf numFmtId="176" fontId="46" fillId="0" borderId="0" xfId="611" applyNumberFormat="1" applyFont="1" applyFill="1" applyAlignment="1">
      <alignment horizontal="right" vertical="center" indent="1"/>
    </xf>
    <xf numFmtId="176" fontId="45" fillId="0" borderId="0" xfId="611" applyNumberFormat="1" applyFont="1" applyFill="1" applyAlignment="1">
      <alignment vertical="center"/>
    </xf>
    <xf numFmtId="177" fontId="45" fillId="0" borderId="0" xfId="611" applyNumberFormat="1" applyFont="1" applyFill="1" applyAlignment="1">
      <alignment vertical="center"/>
    </xf>
    <xf numFmtId="0" fontId="29" fillId="0" borderId="0" xfId="208" quotePrefix="1" applyFont="1" applyFill="1" applyBorder="1" applyAlignment="1">
      <alignment horizontal="right" wrapText="1" indent="1"/>
    </xf>
    <xf numFmtId="177" fontId="46" fillId="0" borderId="0" xfId="611" applyNumberFormat="1" applyFont="1" applyFill="1"/>
    <xf numFmtId="0" fontId="40" fillId="0" borderId="35" xfId="0" applyFont="1" applyFill="1" applyBorder="1" applyAlignment="1">
      <alignment horizontal="left"/>
    </xf>
    <xf numFmtId="0" fontId="40" fillId="0" borderId="35" xfId="0" applyFont="1" applyFill="1" applyBorder="1"/>
    <xf numFmtId="0" fontId="2" fillId="0" borderId="0" xfId="0" applyFont="1" applyFill="1"/>
    <xf numFmtId="0" fontId="45" fillId="0" borderId="0" xfId="0" applyFont="1" applyFill="1" applyAlignment="1">
      <alignment horizontal="left" wrapText="1"/>
    </xf>
    <xf numFmtId="0" fontId="2" fillId="0" borderId="0" xfId="0" applyNumberFormat="1" applyFont="1" applyFill="1" applyAlignment="1">
      <alignment horizontal="justify" wrapText="1"/>
    </xf>
    <xf numFmtId="0" fontId="45" fillId="0" borderId="0" xfId="0" applyFont="1" applyFill="1" applyAlignment="1">
      <alignment horizontal="justify" wrapText="1"/>
    </xf>
    <xf numFmtId="0" fontId="45" fillId="0" borderId="0" xfId="0" applyNumberFormat="1" applyFont="1" applyFill="1" applyAlignment="1">
      <alignment horizontal="justify" wrapText="1"/>
    </xf>
    <xf numFmtId="0" fontId="40" fillId="0" borderId="0" xfId="0" applyFont="1" applyFill="1" applyAlignment="1">
      <alignment horizontal="left" wrapText="1"/>
    </xf>
    <xf numFmtId="0" fontId="2" fillId="0" borderId="0" xfId="0" applyFont="1" applyAlignment="1">
      <alignment horizontal="justify" wrapText="1"/>
    </xf>
    <xf numFmtId="0" fontId="4" fillId="0" borderId="0" xfId="0" applyFont="1" applyFill="1" applyAlignment="1">
      <alignment horizontal="left"/>
    </xf>
    <xf numFmtId="0" fontId="29" fillId="0" borderId="0" xfId="0" applyFont="1" applyFill="1" applyAlignment="1"/>
    <xf numFmtId="169" fontId="24" fillId="0" borderId="0" xfId="0" applyNumberFormat="1" applyFont="1" applyFill="1"/>
    <xf numFmtId="169" fontId="2" fillId="0" borderId="0" xfId="0" applyNumberFormat="1" applyFont="1" applyFill="1"/>
    <xf numFmtId="165" fontId="45" fillId="0" borderId="0" xfId="0" applyNumberFormat="1" applyFont="1" applyFill="1" applyAlignment="1">
      <alignment horizontal="left"/>
    </xf>
    <xf numFmtId="0" fontId="45" fillId="0" borderId="0" xfId="0" applyFont="1" applyFill="1" applyAlignment="1">
      <alignment horizontal="justify" vertical="top" wrapText="1"/>
    </xf>
    <xf numFmtId="0" fontId="45" fillId="0" borderId="0" xfId="0" applyFont="1" applyFill="1" applyAlignment="1">
      <alignment horizontal="right"/>
    </xf>
    <xf numFmtId="0" fontId="0" fillId="0" borderId="35" xfId="0" applyFill="1" applyBorder="1"/>
    <xf numFmtId="0" fontId="45" fillId="0" borderId="35" xfId="0" applyFont="1" applyFill="1" applyBorder="1" applyAlignment="1">
      <alignment horizontal="justify" vertical="top" wrapText="1"/>
    </xf>
    <xf numFmtId="0" fontId="2" fillId="0" borderId="0" xfId="0" applyFont="1" applyBorder="1" applyAlignment="1">
      <alignment horizontal="justify" wrapText="1"/>
    </xf>
    <xf numFmtId="0" fontId="2" fillId="0" borderId="0" xfId="0" applyFont="1" applyAlignment="1">
      <alignment horizontal="justify" wrapText="1"/>
    </xf>
    <xf numFmtId="173" fontId="2" fillId="0" borderId="35" xfId="0" applyNumberFormat="1" applyFont="1" applyFill="1" applyBorder="1" applyAlignment="1"/>
    <xf numFmtId="164" fontId="2" fillId="0" borderId="35" xfId="0" applyNumberFormat="1" applyFont="1" applyFill="1" applyBorder="1" applyAlignment="1">
      <alignment horizontal="justify" wrapText="1"/>
    </xf>
    <xf numFmtId="173" fontId="2" fillId="0" borderId="35" xfId="604" applyNumberFormat="1" applyFont="1" applyFill="1" applyBorder="1" applyAlignment="1"/>
    <xf numFmtId="173" fontId="2" fillId="0" borderId="35" xfId="604" applyNumberFormat="1" applyFont="1" applyFill="1" applyBorder="1"/>
    <xf numFmtId="0" fontId="30" fillId="0" borderId="35" xfId="0" applyFont="1" applyFill="1" applyBorder="1" applyAlignment="1">
      <alignment horizontal="justify" wrapText="1"/>
    </xf>
    <xf numFmtId="173" fontId="2" fillId="0" borderId="35" xfId="604" applyNumberFormat="1" applyFont="1" applyFill="1" applyBorder="1" applyAlignment="1">
      <alignment wrapText="1"/>
    </xf>
    <xf numFmtId="0" fontId="2" fillId="0" borderId="35" xfId="0" applyFont="1" applyFill="1" applyBorder="1" applyAlignment="1">
      <alignment horizontal="justify" wrapText="1"/>
    </xf>
    <xf numFmtId="164" fontId="2" fillId="0" borderId="35" xfId="0" applyNumberFormat="1" applyFont="1" applyFill="1" applyBorder="1" applyAlignment="1">
      <alignment wrapText="1"/>
    </xf>
    <xf numFmtId="173" fontId="2" fillId="0" borderId="35" xfId="604" applyNumberFormat="1" applyFont="1" applyFill="1" applyBorder="1" applyAlignment="1">
      <alignment vertical="top"/>
    </xf>
    <xf numFmtId="174" fontId="24" fillId="0" borderId="35" xfId="0" applyNumberFormat="1" applyFont="1" applyFill="1" applyBorder="1" applyAlignment="1">
      <alignment horizontal="left"/>
    </xf>
    <xf numFmtId="0" fontId="31" fillId="0" borderId="35" xfId="0" applyFont="1" applyFill="1" applyBorder="1" applyAlignment="1">
      <alignment horizontal="justify"/>
    </xf>
    <xf numFmtId="174" fontId="2" fillId="0" borderId="35" xfId="0" applyNumberFormat="1" applyFont="1" applyFill="1" applyBorder="1"/>
    <xf numFmtId="0" fontId="21" fillId="0" borderId="0" xfId="0" applyFont="1" applyFill="1" applyAlignment="1">
      <alignment horizontal="justify" wrapText="1"/>
    </xf>
    <xf numFmtId="0" fontId="27" fillId="0" borderId="0" xfId="0" applyFont="1" applyFill="1" applyAlignment="1">
      <alignment horizontal="center"/>
    </xf>
    <xf numFmtId="0" fontId="56" fillId="0" borderId="10" xfId="0" applyFont="1" applyFill="1" applyBorder="1" applyAlignment="1">
      <alignment horizontal="center"/>
    </xf>
    <xf numFmtId="169" fontId="27" fillId="0" borderId="0" xfId="0" applyNumberFormat="1" applyFont="1" applyFill="1" applyAlignment="1">
      <alignment horizontal="center"/>
    </xf>
    <xf numFmtId="0" fontId="21" fillId="0" borderId="0" xfId="0" applyFont="1" applyFill="1" applyAlignment="1">
      <alignment horizontal="left" wrapText="1"/>
    </xf>
    <xf numFmtId="171" fontId="3" fillId="0" borderId="0" xfId="0" applyNumberFormat="1" applyFont="1" applyFill="1" applyAlignment="1">
      <alignment horizontal="left" vertical="center" wrapText="1"/>
    </xf>
    <xf numFmtId="0" fontId="27" fillId="0" borderId="0" xfId="0" applyFont="1" applyAlignment="1">
      <alignment horizontal="center"/>
    </xf>
    <xf numFmtId="169" fontId="27" fillId="0" borderId="0" xfId="0" applyNumberFormat="1" applyFont="1" applyAlignment="1">
      <alignment horizontal="center"/>
    </xf>
    <xf numFmtId="178" fontId="26" fillId="0" borderId="0" xfId="604" applyNumberFormat="1" applyFont="1" applyFill="1" applyAlignment="1">
      <alignment horizontal="center" wrapText="1"/>
    </xf>
    <xf numFmtId="164" fontId="26" fillId="0" borderId="0" xfId="604" applyNumberFormat="1" applyFont="1" applyFill="1" applyBorder="1" applyAlignment="1">
      <alignment horizontal="center"/>
    </xf>
    <xf numFmtId="0" fontId="2" fillId="0" borderId="0" xfId="0" applyFont="1" applyFill="1" applyAlignment="1">
      <alignment horizontal="justify" vertical="center" wrapText="1"/>
    </xf>
    <xf numFmtId="0" fontId="30" fillId="0" borderId="0" xfId="0" applyFont="1" applyFill="1" applyAlignment="1">
      <alignment horizontal="justify" vertical="center" wrapText="1"/>
    </xf>
    <xf numFmtId="0" fontId="42" fillId="0" borderId="0" xfId="0" applyFont="1" applyFill="1" applyAlignment="1">
      <alignment horizontal="left"/>
    </xf>
    <xf numFmtId="0" fontId="30" fillId="0" borderId="0" xfId="0" applyFont="1" applyFill="1" applyAlignment="1">
      <alignment horizontal="left" vertical="center" wrapText="1"/>
    </xf>
    <xf numFmtId="171" fontId="2" fillId="0" borderId="0" xfId="0" applyNumberFormat="1" applyFont="1" applyFill="1" applyAlignment="1">
      <alignment horizontal="left" vertical="center" wrapText="1"/>
    </xf>
    <xf numFmtId="0" fontId="39" fillId="0" borderId="0" xfId="0" applyFont="1" applyFill="1" applyAlignment="1">
      <alignment horizontal="center" vertical="center" wrapText="1"/>
    </xf>
    <xf numFmtId="0" fontId="39" fillId="0" borderId="0" xfId="0" applyFont="1" applyFill="1" applyAlignment="1">
      <alignment horizontal="center" vertical="center"/>
    </xf>
    <xf numFmtId="0" fontId="2" fillId="0" borderId="0" xfId="0" applyFont="1" applyFill="1"/>
    <xf numFmtId="171" fontId="2" fillId="0" borderId="0" xfId="0" applyNumberFormat="1" applyFont="1" applyFill="1" applyAlignment="1">
      <alignment horizontal="justify" vertical="top" wrapText="1"/>
    </xf>
    <xf numFmtId="0" fontId="2" fillId="0" borderId="0" xfId="0" applyFont="1" applyFill="1" applyAlignment="1">
      <alignment horizontal="left" vertical="center" wrapText="1"/>
    </xf>
    <xf numFmtId="0" fontId="2" fillId="0" borderId="0" xfId="0" applyNumberFormat="1" applyFont="1" applyFill="1" applyAlignment="1">
      <alignment horizontal="justify" vertical="center" wrapText="1"/>
    </xf>
    <xf numFmtId="0" fontId="39" fillId="0" borderId="0" xfId="0" applyFont="1" applyFill="1" applyAlignment="1">
      <alignment horizontal="center"/>
    </xf>
    <xf numFmtId="0" fontId="45" fillId="0" borderId="0" xfId="0" applyFont="1" applyFill="1" applyAlignment="1">
      <alignment horizontal="left" wrapText="1"/>
    </xf>
    <xf numFmtId="0" fontId="2" fillId="0" borderId="0" xfId="0" applyFont="1" applyFill="1" applyAlignment="1">
      <alignment horizontal="left" wrapText="1"/>
    </xf>
    <xf numFmtId="0" fontId="2" fillId="0" borderId="0" xfId="0" applyFont="1" applyAlignment="1">
      <alignment horizontal="justify" wrapText="1"/>
    </xf>
    <xf numFmtId="0" fontId="63" fillId="0" borderId="0" xfId="0" applyFont="1" applyAlignment="1">
      <alignment horizontal="justify" wrapText="1"/>
    </xf>
    <xf numFmtId="0" fontId="45" fillId="0" borderId="0" xfId="0" applyFont="1" applyFill="1" applyAlignment="1">
      <alignment horizontal="left"/>
    </xf>
    <xf numFmtId="0" fontId="39" fillId="0" borderId="0" xfId="0" applyFont="1" applyFill="1" applyAlignment="1">
      <alignment horizontal="center" vertical="top" wrapText="1"/>
    </xf>
    <xf numFmtId="0" fontId="45" fillId="0" borderId="0" xfId="0" applyFont="1" applyFill="1" applyAlignment="1">
      <alignment horizontal="left" vertical="center" wrapText="1"/>
    </xf>
    <xf numFmtId="0" fontId="40" fillId="0" borderId="0" xfId="0" applyFont="1" applyFill="1" applyAlignment="1">
      <alignment horizontal="center"/>
    </xf>
    <xf numFmtId="0" fontId="45" fillId="0" borderId="0" xfId="0" applyFont="1" applyFill="1" applyAlignment="1">
      <alignment horizontal="justify" wrapText="1"/>
    </xf>
    <xf numFmtId="0" fontId="45" fillId="0" borderId="0" xfId="0" applyFont="1" applyFill="1" applyAlignment="1">
      <alignment horizontal="justify" vertical="center" wrapText="1"/>
    </xf>
    <xf numFmtId="0" fontId="2" fillId="0" borderId="0" xfId="0" applyFont="1" applyFill="1" applyBorder="1" applyAlignment="1">
      <alignment horizontal="justify"/>
    </xf>
    <xf numFmtId="0" fontId="2" fillId="0" borderId="0" xfId="0" applyNumberFormat="1" applyFont="1" applyFill="1" applyAlignment="1">
      <alignment horizontal="left" vertical="center" wrapText="1"/>
    </xf>
    <xf numFmtId="0" fontId="2" fillId="0" borderId="0" xfId="0" applyFont="1" applyFill="1" applyAlignment="1">
      <alignment horizontal="left"/>
    </xf>
    <xf numFmtId="0" fontId="24" fillId="0" borderId="0" xfId="0" applyFont="1" applyFill="1" applyAlignment="1">
      <alignment horizontal="center"/>
    </xf>
    <xf numFmtId="0" fontId="2" fillId="0" borderId="0" xfId="0" applyFont="1" applyFill="1" applyAlignment="1">
      <alignment horizontal="justify"/>
    </xf>
    <xf numFmtId="0" fontId="39" fillId="0" borderId="0" xfId="0" applyFont="1" applyFill="1" applyAlignment="1">
      <alignment horizontal="center" wrapText="1"/>
    </xf>
    <xf numFmtId="0" fontId="2" fillId="0" borderId="0" xfId="0" applyNumberFormat="1" applyFont="1" applyFill="1" applyAlignment="1">
      <alignment horizontal="justify" wrapText="1"/>
    </xf>
    <xf numFmtId="0" fontId="45" fillId="0" borderId="0" xfId="0" applyFont="1" applyFill="1" applyAlignment="1">
      <alignment horizontal="left" vertical="top" wrapText="1"/>
    </xf>
    <xf numFmtId="0" fontId="45" fillId="0" borderId="36" xfId="0" applyFont="1" applyFill="1" applyBorder="1" applyAlignment="1">
      <alignment horizontal="left" wrapText="1"/>
    </xf>
    <xf numFmtId="0" fontId="40" fillId="0" borderId="0" xfId="0" applyFont="1" applyFill="1" applyAlignment="1">
      <alignment horizontal="justify" wrapText="1"/>
    </xf>
    <xf numFmtId="0" fontId="45" fillId="0" borderId="0" xfId="0" applyNumberFormat="1" applyFont="1" applyFill="1" applyAlignment="1">
      <alignment horizontal="justify" wrapText="1"/>
    </xf>
    <xf numFmtId="0" fontId="2" fillId="0" borderId="0" xfId="0" applyFont="1" applyFill="1" applyAlignment="1">
      <alignment horizontal="justify" wrapText="1"/>
    </xf>
    <xf numFmtId="0" fontId="2" fillId="0" borderId="0" xfId="0" applyFont="1" applyFill="1" applyAlignment="1">
      <alignment horizontal="justify" vertical="top"/>
    </xf>
    <xf numFmtId="0" fontId="29" fillId="10" borderId="0" xfId="0" applyFont="1" applyFill="1" applyAlignment="1">
      <alignment horizontal="left" wrapText="1"/>
    </xf>
    <xf numFmtId="0" fontId="40" fillId="0" borderId="0" xfId="0" applyFont="1" applyFill="1" applyAlignment="1">
      <alignment horizontal="left" wrapText="1"/>
    </xf>
    <xf numFmtId="0" fontId="2" fillId="0" borderId="0" xfId="604" applyNumberFormat="1" applyFont="1" applyFill="1" applyAlignment="1">
      <alignment horizontal="justify" wrapText="1"/>
    </xf>
    <xf numFmtId="0" fontId="49" fillId="0" borderId="10" xfId="0" applyFont="1" applyFill="1" applyBorder="1" applyAlignment="1">
      <alignment horizontal="left" wrapText="1"/>
    </xf>
    <xf numFmtId="0" fontId="4" fillId="0" borderId="0" xfId="0" applyFont="1" applyFill="1" applyAlignment="1">
      <alignment horizontal="center"/>
    </xf>
  </cellXfs>
  <cellStyles count="745">
    <cellStyle name="%" xfId="1"/>
    <cellStyle name="% 2" xfId="253"/>
    <cellStyle name="% 3" xfId="396"/>
    <cellStyle name="_Calc" xfId="625"/>
    <cellStyle name="_Calc 2" xfId="705"/>
    <cellStyle name="_Calc 2 2" xfId="735"/>
    <cellStyle name="_Calc 3" xfId="712"/>
    <cellStyle name="_Calc 3 2" xfId="741"/>
    <cellStyle name="_CalcBold" xfId="649"/>
    <cellStyle name="_CalcBold 2" xfId="703"/>
    <cellStyle name="_CalcBold 2 2" xfId="733"/>
    <cellStyle name="_CalcBold 3" xfId="710"/>
    <cellStyle name="_CalcBold 3 2" xfId="739"/>
    <cellStyle name="_CalcTotal" xfId="643"/>
    <cellStyle name="_CalcTotal 2" xfId="707"/>
    <cellStyle name="_Confirmation" xfId="696"/>
    <cellStyle name="_Confirmation 2" xfId="731"/>
    <cellStyle name="_InputCY" xfId="620"/>
    <cellStyle name="_InputCY 2" xfId="704"/>
    <cellStyle name="_InputCY 2 2" xfId="734"/>
    <cellStyle name="_InputCY 3" xfId="711"/>
    <cellStyle name="_InputCY 3 2" xfId="740"/>
    <cellStyle name="_InputNewFT" xfId="648"/>
    <cellStyle name="_InputNewFT 2" xfId="718"/>
    <cellStyle name="_InputPY" xfId="646"/>
    <cellStyle name="_InputPY 2" xfId="706"/>
    <cellStyle name="_InputPY 2 2" xfId="736"/>
    <cellStyle name="_InputPY 3" xfId="713"/>
    <cellStyle name="_InputPY 3 2" xfId="742"/>
    <cellStyle name="_Maincode" xfId="644"/>
    <cellStyle name="_Maincode 2" xfId="702"/>
    <cellStyle name="_Maincode 2 2" xfId="732"/>
    <cellStyle name="_Maincode 3" xfId="717"/>
    <cellStyle name="_No_Input" xfId="642"/>
    <cellStyle name="_No_Input 2" xfId="709"/>
    <cellStyle name="_No_Input 2 2" xfId="738"/>
    <cellStyle name="_No_Input 3" xfId="715"/>
    <cellStyle name="_No_Input 3 2" xfId="744"/>
    <cellStyle name="_Note" xfId="647"/>
    <cellStyle name="_Subcode" xfId="645"/>
    <cellStyle name="_Subcode 2" xfId="708"/>
    <cellStyle name="_Subcode 2 2" xfId="737"/>
    <cellStyle name="_Subcode 3" xfId="714"/>
    <cellStyle name="_Subcode 3 2" xfId="743"/>
    <cellStyle name="_TextEntry" xfId="637"/>
    <cellStyle name="0,0_x000d__x000a_NA_x000d__x000a_" xfId="627"/>
    <cellStyle name="Acc. neg. red &amp; brackets" xfId="606"/>
    <cellStyle name="Calc" xfId="2"/>
    <cellStyle name="Calc - Blue" xfId="3"/>
    <cellStyle name="Calc - Feed" xfId="4"/>
    <cellStyle name="Calc - Green" xfId="5"/>
    <cellStyle name="Calc - Grey" xfId="6"/>
    <cellStyle name="Calc - White" xfId="7"/>
    <cellStyle name="Calculated Field" xfId="8"/>
    <cellStyle name="Calculated Field 2" xfId="260"/>
    <cellStyle name="Calculated Field 3" xfId="395"/>
    <cellStyle name="Check Cell" xfId="623" builtinId="23" hidden="1"/>
    <cellStyle name="Check Cell" xfId="684" builtinId="23" hidden="1"/>
    <cellStyle name="Check Cell" xfId="691" builtinId="23" hidden="1"/>
    <cellStyle name="Check Cell" xfId="692" builtinId="23" hidden="1"/>
    <cellStyle name="Check Cell" xfId="721" builtinId="23" hidden="1"/>
    <cellStyle name="Check Cell" xfId="724" builtinId="23" hidden="1"/>
    <cellStyle name="Check Cell" xfId="728" builtinId="23" hidden="1"/>
    <cellStyle name="Check Cell" xfId="729" builtinId="23" hidden="1"/>
    <cellStyle name="CodeHeading" xfId="9"/>
    <cellStyle name="CodeHeading 2" xfId="261"/>
    <cellStyle name="CodeHeading 3" xfId="394"/>
    <cellStyle name="Comma" xfId="611" builtinId="3"/>
    <cellStyle name="Comma 2" xfId="607"/>
    <cellStyle name="Comma 2 2" xfId="655"/>
    <cellStyle name="Comma 2 3" xfId="654"/>
    <cellStyle name="Comma 2 4" xfId="629"/>
    <cellStyle name="Comma 3" xfId="641"/>
    <cellStyle name="Comma 3 2" xfId="679"/>
    <cellStyle name="CoverTextNotes" xfId="659"/>
    <cellStyle name="Currency [0] 2" xfId="630"/>
    <cellStyle name="Currency [0] 2 2" xfId="660"/>
    <cellStyle name="Date Feeder Field" xfId="10"/>
    <cellStyle name="Exception" xfId="11"/>
    <cellStyle name="Exception 2" xfId="263"/>
    <cellStyle name="Exception 3" xfId="392"/>
    <cellStyle name="Feeder Field" xfId="12"/>
    <cellStyle name="Feeder Field 2" xfId="264"/>
    <cellStyle name="Feeder Field 3" xfId="390"/>
    <cellStyle name="Greyed out" xfId="13"/>
    <cellStyle name="Greyed out 2" xfId="265"/>
    <cellStyle name="Greyed out 3" xfId="389"/>
    <cellStyle name="H1" xfId="661"/>
    <cellStyle name="H2" xfId="662"/>
    <cellStyle name="H3" xfId="631"/>
    <cellStyle name="H3Bold" xfId="663"/>
    <cellStyle name="Header0" xfId="635"/>
    <cellStyle name="Hyperlink 2" xfId="216"/>
    <cellStyle name="Hyperlink 2 10" xfId="14"/>
    <cellStyle name="Hyperlink 2 10 2" xfId="266"/>
    <cellStyle name="Hyperlink 2 10 3" xfId="388"/>
    <cellStyle name="Hyperlink 2 11" xfId="15"/>
    <cellStyle name="Hyperlink 2 11 2" xfId="267"/>
    <cellStyle name="Hyperlink 2 11 3" xfId="387"/>
    <cellStyle name="Hyperlink 2 12" xfId="16"/>
    <cellStyle name="Hyperlink 2 12 2" xfId="268"/>
    <cellStyle name="Hyperlink 2 12 3" xfId="386"/>
    <cellStyle name="Hyperlink 2 13" xfId="17"/>
    <cellStyle name="Hyperlink 2 13 2" xfId="269"/>
    <cellStyle name="Hyperlink 2 13 3" xfId="385"/>
    <cellStyle name="Hyperlink 2 14" xfId="18"/>
    <cellStyle name="Hyperlink 2 14 2" xfId="270"/>
    <cellStyle name="Hyperlink 2 14 3" xfId="384"/>
    <cellStyle name="Hyperlink 2 15" xfId="161"/>
    <cellStyle name="Hyperlink 2 15 2" xfId="402"/>
    <cellStyle name="Hyperlink 2 15 3" xfId="537"/>
    <cellStyle name="Hyperlink 2 16" xfId="169"/>
    <cellStyle name="Hyperlink 2 16 2" xfId="409"/>
    <cellStyle name="Hyperlink 2 16 3" xfId="543"/>
    <cellStyle name="Hyperlink 2 17" xfId="456"/>
    <cellStyle name="Hyperlink 2 18" xfId="586"/>
    <cellStyle name="Hyperlink 2 2" xfId="19"/>
    <cellStyle name="Hyperlink 2 2 2" xfId="271"/>
    <cellStyle name="Hyperlink 2 2 3" xfId="383"/>
    <cellStyle name="Hyperlink 2 3" xfId="20"/>
    <cellStyle name="Hyperlink 2 3 2" xfId="272"/>
    <cellStyle name="Hyperlink 2 3 3" xfId="382"/>
    <cellStyle name="Hyperlink 2 4" xfId="21"/>
    <cellStyle name="Hyperlink 2 4 2" xfId="273"/>
    <cellStyle name="Hyperlink 2 4 3" xfId="450"/>
    <cellStyle name="Hyperlink 2 5" xfId="22"/>
    <cellStyle name="Hyperlink 2 5 2" xfId="274"/>
    <cellStyle name="Hyperlink 2 5 3" xfId="467"/>
    <cellStyle name="Hyperlink 2 6" xfId="23"/>
    <cellStyle name="Hyperlink 2 6 2" xfId="275"/>
    <cellStyle name="Hyperlink 2 6 3" xfId="381"/>
    <cellStyle name="Hyperlink 2 7" xfId="24"/>
    <cellStyle name="Hyperlink 2 7 2" xfId="276"/>
    <cellStyle name="Hyperlink 2 7 3" xfId="453"/>
    <cellStyle name="Hyperlink 2 8" xfId="25"/>
    <cellStyle name="Hyperlink 2 8 2" xfId="277"/>
    <cellStyle name="Hyperlink 2 8 3" xfId="470"/>
    <cellStyle name="Hyperlink 2 9" xfId="26"/>
    <cellStyle name="Hyperlink 2 9 2" xfId="278"/>
    <cellStyle name="Hyperlink 2 9 3" xfId="413"/>
    <cellStyle name="Hyperlink 3" xfId="653"/>
    <cellStyle name="Hyperlink 4" xfId="676"/>
    <cellStyle name="IndentedPlain" xfId="632"/>
    <cellStyle name="Input" xfId="621" builtinId="20" hidden="1"/>
    <cellStyle name="Input" xfId="682" builtinId="20" hidden="1"/>
    <cellStyle name="Input" xfId="689" builtinId="20" hidden="1"/>
    <cellStyle name="Input" xfId="687" builtinId="20" hidden="1"/>
    <cellStyle name="Input" xfId="719" builtinId="20" hidden="1"/>
    <cellStyle name="Input" xfId="722" builtinId="20" hidden="1"/>
    <cellStyle name="Input" xfId="726" builtinId="20" hidden="1"/>
    <cellStyle name="Input" xfId="725" builtinId="20" hidden="1"/>
    <cellStyle name="Input 1" xfId="27"/>
    <cellStyle name="Input 2" xfId="28"/>
    <cellStyle name="Input 2 2" xfId="280"/>
    <cellStyle name="Input 2 3" xfId="380"/>
    <cellStyle name="Input Cell" xfId="29"/>
    <cellStyle name="Input Cell 2" xfId="281"/>
    <cellStyle name="Input Cell 3" xfId="379"/>
    <cellStyle name="KPMG Heading 1" xfId="30"/>
    <cellStyle name="KPMG Heading 2" xfId="31"/>
    <cellStyle name="KPMG Heading 3" xfId="32"/>
    <cellStyle name="KPMG Heading 4" xfId="33"/>
    <cellStyle name="KPMG Normal" xfId="34"/>
    <cellStyle name="KPMG Normal 2" xfId="285"/>
    <cellStyle name="KPMG Normal 3" xfId="473"/>
    <cellStyle name="KPMG Normal Text" xfId="35"/>
    <cellStyle name="KPMG Normal Text 2" xfId="286"/>
    <cellStyle name="KPMG Normal Text 3" xfId="472"/>
    <cellStyle name="Linked Cell" xfId="622" builtinId="24" hidden="1"/>
    <cellStyle name="Linked Cell" xfId="683" builtinId="24" hidden="1"/>
    <cellStyle name="Linked Cell" xfId="690" builtinId="24" hidden="1"/>
    <cellStyle name="Linked Cell" xfId="693" builtinId="24" hidden="1"/>
    <cellStyle name="Linked Cell" xfId="720" builtinId="24" hidden="1"/>
    <cellStyle name="Linked Cell" xfId="723" builtinId="24" hidden="1"/>
    <cellStyle name="Linked Cell" xfId="727" builtinId="24" hidden="1"/>
    <cellStyle name="Linked Cell" xfId="730" builtinId="24" hidden="1"/>
    <cellStyle name="Named Range" xfId="36"/>
    <cellStyle name="Named Range 2" xfId="287"/>
    <cellStyle name="Named Range 3" xfId="471"/>
    <cellStyle name="Named Range Cells" xfId="37"/>
    <cellStyle name="Named Range Cells 2" xfId="288"/>
    <cellStyle name="Named Range Cells 3" xfId="449"/>
    <cellStyle name="Named Range Tag" xfId="38"/>
    <cellStyle name="Named Range Tag 2" xfId="289"/>
    <cellStyle name="Named Range Tag 3" xfId="407"/>
    <cellStyle name="NB" xfId="628"/>
    <cellStyle name="Normal" xfId="0" builtinId="0"/>
    <cellStyle name="Normal 10" xfId="39"/>
    <cellStyle name="Normal 10 2" xfId="180"/>
    <cellStyle name="Normal 10 2 2" xfId="420"/>
    <cellStyle name="Normal 10 2 3" xfId="553"/>
    <cellStyle name="Normal 11" xfId="40"/>
    <cellStyle name="Normal 11 10" xfId="41"/>
    <cellStyle name="Normal 11 10 2" xfId="292"/>
    <cellStyle name="Normal 11 10 3" xfId="349"/>
    <cellStyle name="Normal 11 10_Sheet1" xfId="235"/>
    <cellStyle name="Normal 11 11" xfId="42"/>
    <cellStyle name="Normal 11 11 2" xfId="293"/>
    <cellStyle name="Normal 11 11 3" xfId="329"/>
    <cellStyle name="Normal 11 11_Sheet1" xfId="236"/>
    <cellStyle name="Normal 11 12" xfId="181"/>
    <cellStyle name="Normal 11 12 2" xfId="421"/>
    <cellStyle name="Normal 11 12 3" xfId="554"/>
    <cellStyle name="Normal 11 13" xfId="223"/>
    <cellStyle name="Normal 11 13 2" xfId="463"/>
    <cellStyle name="Normal 11 13 3" xfId="593"/>
    <cellStyle name="Normal 11 13_Sheet1" xfId="237"/>
    <cellStyle name="Normal 11 14" xfId="220"/>
    <cellStyle name="Normal 11 14 2" xfId="460"/>
    <cellStyle name="Normal 11 14 3" xfId="590"/>
    <cellStyle name="Normal 11 14_Sheet1" xfId="238"/>
    <cellStyle name="Normal 11 15" xfId="221"/>
    <cellStyle name="Normal 11 15 2" xfId="461"/>
    <cellStyle name="Normal 11 15 3" xfId="591"/>
    <cellStyle name="Normal 11 15_Sheet1" xfId="239"/>
    <cellStyle name="Normal 11 16" xfId="218"/>
    <cellStyle name="Normal 11 16 2" xfId="458"/>
    <cellStyle name="Normal 11 16 3" xfId="588"/>
    <cellStyle name="Normal 11 16_Sheet1" xfId="240"/>
    <cellStyle name="Normal 11 17" xfId="291"/>
    <cellStyle name="Normal 11 18" xfId="352"/>
    <cellStyle name="Normal 11 2" xfId="43"/>
    <cellStyle name="Normal 11 2 2" xfId="294"/>
    <cellStyle name="Normal 11 2 3" xfId="327"/>
    <cellStyle name="Normal 11 2_Sheet1" xfId="241"/>
    <cellStyle name="Normal 11 3" xfId="44"/>
    <cellStyle name="Normal 11 3 2" xfId="295"/>
    <cellStyle name="Normal 11 3 3" xfId="326"/>
    <cellStyle name="Normal 11 3_Sheet1" xfId="242"/>
    <cellStyle name="Normal 11 4" xfId="45"/>
    <cellStyle name="Normal 11 4 2" xfId="296"/>
    <cellStyle name="Normal 11 4 3" xfId="325"/>
    <cellStyle name="Normal 11 4_Sheet1" xfId="243"/>
    <cellStyle name="Normal 11 5" xfId="46"/>
    <cellStyle name="Normal 11 5 2" xfId="297"/>
    <cellStyle name="Normal 11 5 3" xfId="324"/>
    <cellStyle name="Normal 11 5_Sheet1" xfId="244"/>
    <cellStyle name="Normal 11 6" xfId="47"/>
    <cellStyle name="Normal 11 6 2" xfId="298"/>
    <cellStyle name="Normal 11 6 3" xfId="323"/>
    <cellStyle name="Normal 11 6_Sheet1" xfId="245"/>
    <cellStyle name="Normal 11 7" xfId="48"/>
    <cellStyle name="Normal 11 7 2" xfId="299"/>
    <cellStyle name="Normal 11 7 3" xfId="322"/>
    <cellStyle name="Normal 11 7_Sheet1" xfId="246"/>
    <cellStyle name="Normal 11 8" xfId="49"/>
    <cellStyle name="Normal 11 8 2" xfId="300"/>
    <cellStyle name="Normal 11 8 3" xfId="302"/>
    <cellStyle name="Normal 11 8_Sheet1" xfId="247"/>
    <cellStyle name="Normal 11 9" xfId="50"/>
    <cellStyle name="Normal 11 9 2" xfId="301"/>
    <cellStyle name="Normal 11 9 3" xfId="290"/>
    <cellStyle name="Normal 11 9_Sheet1" xfId="248"/>
    <cellStyle name="Normal 11_Sheet1" xfId="234"/>
    <cellStyle name="Normal 12" xfId="51"/>
    <cellStyle name="Normal 12 2" xfId="182"/>
    <cellStyle name="Normal 12 2 2" xfId="422"/>
    <cellStyle name="Normal 12 2 3" xfId="555"/>
    <cellStyle name="Normal 12 3" xfId="656"/>
    <cellStyle name="Normal 12_Sheet1" xfId="249"/>
    <cellStyle name="Normal 13" xfId="52"/>
    <cellStyle name="Normal 13 2" xfId="183"/>
    <cellStyle name="Normal 13 2 2" xfId="423"/>
    <cellStyle name="Normal 13 2 3" xfId="556"/>
    <cellStyle name="Normal 13 3" xfId="303"/>
    <cellStyle name="Normal 13 4" xfId="284"/>
    <cellStyle name="Normal 13 5" xfId="657"/>
    <cellStyle name="Normal 14" xfId="53"/>
    <cellStyle name="Normal 14 2" xfId="184"/>
    <cellStyle name="Normal 14 2 2" xfId="424"/>
    <cellStyle name="Normal 14 2 3" xfId="557"/>
    <cellStyle name="Normal 14 3" xfId="304"/>
    <cellStyle name="Normal 14 4" xfId="283"/>
    <cellStyle name="Normal 14 5" xfId="639"/>
    <cellStyle name="Normal 15" xfId="54"/>
    <cellStyle name="Normal 15 2" xfId="185"/>
    <cellStyle name="Normal 15 2 2" xfId="425"/>
    <cellStyle name="Normal 15 2 3" xfId="558"/>
    <cellStyle name="Normal 15 3" xfId="305"/>
    <cellStyle name="Normal 15 4" xfId="282"/>
    <cellStyle name="Normal 15 5" xfId="640"/>
    <cellStyle name="Normal 16" xfId="55"/>
    <cellStyle name="Normal 16 2" xfId="186"/>
    <cellStyle name="Normal 16 2 2" xfId="426"/>
    <cellStyle name="Normal 16 2 3" xfId="559"/>
    <cellStyle name="Normal 16 3" xfId="306"/>
    <cellStyle name="Normal 16 4" xfId="279"/>
    <cellStyle name="Normal 16 5" xfId="697"/>
    <cellStyle name="Normal 17" xfId="56"/>
    <cellStyle name="Normal 17 2" xfId="187"/>
    <cellStyle name="Normal 17 2 2" xfId="427"/>
    <cellStyle name="Normal 17 2 3" xfId="560"/>
    <cellStyle name="Normal 17 3" xfId="307"/>
    <cellStyle name="Normal 17 4" xfId="262"/>
    <cellStyle name="Normal 17 5" xfId="698"/>
    <cellStyle name="Normal 18" xfId="196"/>
    <cellStyle name="Normal 18 2" xfId="436"/>
    <cellStyle name="Normal 18 3" xfId="569"/>
    <cellStyle name="Normal 18 4" xfId="700"/>
    <cellStyle name="Normal 19" xfId="57"/>
    <cellStyle name="Normal 19 2" xfId="308"/>
    <cellStyle name="Normal 19 3" xfId="259"/>
    <cellStyle name="Normal 19 4" xfId="716"/>
    <cellStyle name="Normal 2" xfId="608"/>
    <cellStyle name="Normal 2 10" xfId="58"/>
    <cellStyle name="Normal 2 10 2" xfId="309"/>
    <cellStyle name="Normal 2 10 3" xfId="258"/>
    <cellStyle name="Normal 2 11" xfId="59"/>
    <cellStyle name="Normal 2 11 2" xfId="310"/>
    <cellStyle name="Normal 2 11 3" xfId="257"/>
    <cellStyle name="Normal 2 12" xfId="60"/>
    <cellStyle name="Normal 2 12 2" xfId="311"/>
    <cellStyle name="Normal 2 12 3" xfId="256"/>
    <cellStyle name="Normal 2 13" xfId="61"/>
    <cellStyle name="Normal 2 13 2" xfId="312"/>
    <cellStyle name="Normal 2 13 3" xfId="255"/>
    <cellStyle name="Normal 2 14" xfId="62"/>
    <cellStyle name="Normal 2 14 2" xfId="313"/>
    <cellStyle name="Normal 2 14 3" xfId="254"/>
    <cellStyle name="Normal 2 15" xfId="63"/>
    <cellStyle name="Normal 2 15 2" xfId="314"/>
    <cellStyle name="Normal 2 15 3" xfId="474"/>
    <cellStyle name="Normal 2 16" xfId="64"/>
    <cellStyle name="Normal 2 16 2" xfId="315"/>
    <cellStyle name="Normal 2 16 3" xfId="475"/>
    <cellStyle name="Normal 2 17" xfId="65"/>
    <cellStyle name="Normal 2 17 2" xfId="316"/>
    <cellStyle name="Normal 2 17 3" xfId="476"/>
    <cellStyle name="Normal 2 18" xfId="66"/>
    <cellStyle name="Normal 2 18 2" xfId="317"/>
    <cellStyle name="Normal 2 18 3" xfId="477"/>
    <cellStyle name="Normal 2 19" xfId="67"/>
    <cellStyle name="Normal 2 19 2" xfId="318"/>
    <cellStyle name="Normal 2 19 3" xfId="478"/>
    <cellStyle name="Normal 2 2" xfId="177"/>
    <cellStyle name="Normal 2 2 2" xfId="319"/>
    <cellStyle name="Normal 2 2 3" xfId="479"/>
    <cellStyle name="Normal 2 20" xfId="68"/>
    <cellStyle name="Normal 2 20 2" xfId="320"/>
    <cellStyle name="Normal 2 20 3" xfId="480"/>
    <cellStyle name="Normal 2 21" xfId="69"/>
    <cellStyle name="Normal 2 21 2" xfId="321"/>
    <cellStyle name="Normal 2 21 3" xfId="481"/>
    <cellStyle name="Normal 2 22" xfId="160"/>
    <cellStyle name="Normal 2 22 2" xfId="401"/>
    <cellStyle name="Normal 2 22 3" xfId="536"/>
    <cellStyle name="Normal 2 23" xfId="168"/>
    <cellStyle name="Normal 2 23 2" xfId="408"/>
    <cellStyle name="Normal 2 23 3" xfId="542"/>
    <cellStyle name="Normal 2 24" xfId="188"/>
    <cellStyle name="Normal 2 24 2" xfId="428"/>
    <cellStyle name="Normal 2 24 3" xfId="561"/>
    <cellStyle name="Normal 2 25" xfId="224"/>
    <cellStyle name="Normal 2 25 2" xfId="464"/>
    <cellStyle name="Normal 2 25 3" xfId="594"/>
    <cellStyle name="Normal 2 26" xfId="219"/>
    <cellStyle name="Normal 2 26 2" xfId="459"/>
    <cellStyle name="Normal 2 26 3" xfId="589"/>
    <cellStyle name="Normal 2 27" xfId="222"/>
    <cellStyle name="Normal 2 27 2" xfId="462"/>
    <cellStyle name="Normal 2 27 3" xfId="592"/>
    <cellStyle name="Normal 2 28" xfId="217"/>
    <cellStyle name="Normal 2 28 2" xfId="457"/>
    <cellStyle name="Normal 2 28 3" xfId="587"/>
    <cellStyle name="Normal 2 29" xfId="417"/>
    <cellStyle name="Normal 2 3" xfId="70"/>
    <cellStyle name="Normal 2 30" xfId="550"/>
    <cellStyle name="Normal 2 31" xfId="602"/>
    <cellStyle name="Normal 2 32" xfId="603"/>
    <cellStyle name="Normal 2 4" xfId="71"/>
    <cellStyle name="Normal 2 5" xfId="72"/>
    <cellStyle name="Normal 2 6" xfId="73"/>
    <cellStyle name="Normal 2 7" xfId="74"/>
    <cellStyle name="Normal 2 8" xfId="75"/>
    <cellStyle name="Normal 2 9" xfId="76"/>
    <cellStyle name="Normal 2 9 2" xfId="328"/>
    <cellStyle name="Normal 2 9 3" xfId="482"/>
    <cellStyle name="Normal 20" xfId="197"/>
    <cellStyle name="Normal 20 2" xfId="437"/>
    <cellStyle name="Normal 20 3" xfId="570"/>
    <cellStyle name="Normal 21" xfId="601"/>
    <cellStyle name="Normal 22" xfId="198"/>
    <cellStyle name="Normal 22 2" xfId="438"/>
    <cellStyle name="Normal 22 3" xfId="571"/>
    <cellStyle name="Normal 23" xfId="77"/>
    <cellStyle name="Normal 24" xfId="78"/>
    <cellStyle name="Normal 24 2" xfId="330"/>
    <cellStyle name="Normal 24 3" xfId="483"/>
    <cellStyle name="Normal 25" xfId="79"/>
    <cellStyle name="Normal 25 2" xfId="331"/>
    <cellStyle name="Normal 25 3" xfId="484"/>
    <cellStyle name="Normal 26" xfId="80"/>
    <cellStyle name="Normal 26 2" xfId="332"/>
    <cellStyle name="Normal 26 3" xfId="485"/>
    <cellStyle name="Normal 27" xfId="81"/>
    <cellStyle name="Normal 27 2" xfId="333"/>
    <cellStyle name="Normal 27 3" xfId="486"/>
    <cellStyle name="Normal 28" xfId="82"/>
    <cellStyle name="Normal 28 2" xfId="334"/>
    <cellStyle name="Normal 28 3" xfId="487"/>
    <cellStyle name="Normal 29" xfId="83"/>
    <cellStyle name="Normal 29 2" xfId="335"/>
    <cellStyle name="Normal 29 3" xfId="488"/>
    <cellStyle name="Normal 3" xfId="178"/>
    <cellStyle name="Normal 3 10" xfId="84"/>
    <cellStyle name="Normal 3 10 2" xfId="336"/>
    <cellStyle name="Normal 3 10 3" xfId="489"/>
    <cellStyle name="Normal 3 11" xfId="85"/>
    <cellStyle name="Normal 3 11 2" xfId="337"/>
    <cellStyle name="Normal 3 11 3" xfId="490"/>
    <cellStyle name="Normal 3 12" xfId="86"/>
    <cellStyle name="Normal 3 12 2" xfId="338"/>
    <cellStyle name="Normal 3 12 3" xfId="491"/>
    <cellStyle name="Normal 3 13" xfId="87"/>
    <cellStyle name="Normal 3 13 2" xfId="339"/>
    <cellStyle name="Normal 3 13 3" xfId="492"/>
    <cellStyle name="Normal 3 14" xfId="88"/>
    <cellStyle name="Normal 3 14 2" xfId="340"/>
    <cellStyle name="Normal 3 14 3" xfId="493"/>
    <cellStyle name="Normal 3 15" xfId="162"/>
    <cellStyle name="Normal 3 15 2" xfId="403"/>
    <cellStyle name="Normal 3 15 3" xfId="538"/>
    <cellStyle name="Normal 3 16" xfId="170"/>
    <cellStyle name="Normal 3 16 2" xfId="410"/>
    <cellStyle name="Normal 3 16 3" xfId="544"/>
    <cellStyle name="Normal 3 17" xfId="189"/>
    <cellStyle name="Normal 3 17 2" xfId="429"/>
    <cellStyle name="Normal 3 17 3" xfId="562"/>
    <cellStyle name="Normal 3 18" xfId="418"/>
    <cellStyle name="Normal 3 19" xfId="551"/>
    <cellStyle name="Normal 3 2" xfId="89"/>
    <cellStyle name="Normal 3 2 2" xfId="341"/>
    <cellStyle name="Normal 3 2 3" xfId="494"/>
    <cellStyle name="Normal 3 3" xfId="90"/>
    <cellStyle name="Normal 3 3 2" xfId="342"/>
    <cellStyle name="Normal 3 3 3" xfId="495"/>
    <cellStyle name="Normal 3 4" xfId="91"/>
    <cellStyle name="Normal 3 4 2" xfId="343"/>
    <cellStyle name="Normal 3 4 3" xfId="496"/>
    <cellStyle name="Normal 3 5" xfId="92"/>
    <cellStyle name="Normal 3 5 2" xfId="344"/>
    <cellStyle name="Normal 3 5 3" xfId="497"/>
    <cellStyle name="Normal 3 6" xfId="93"/>
    <cellStyle name="Normal 3 6 2" xfId="345"/>
    <cellStyle name="Normal 3 6 3" xfId="498"/>
    <cellStyle name="Normal 3 7" xfId="94"/>
    <cellStyle name="Normal 3 7 2" xfId="346"/>
    <cellStyle name="Normal 3 7 3" xfId="499"/>
    <cellStyle name="Normal 3 8" xfId="95"/>
    <cellStyle name="Normal 3 8 2" xfId="347"/>
    <cellStyle name="Normal 3 8 3" xfId="500"/>
    <cellStyle name="Normal 3 9" xfId="96"/>
    <cellStyle name="Normal 3 9 2" xfId="348"/>
    <cellStyle name="Normal 3 9 3" xfId="501"/>
    <cellStyle name="Normal 30" xfId="97"/>
    <cellStyle name="Normal 31" xfId="199"/>
    <cellStyle name="Normal 31 2" xfId="439"/>
    <cellStyle name="Normal 31 3" xfId="572"/>
    <cellStyle name="Normal 32" xfId="200"/>
    <cellStyle name="Normal 32 2" xfId="440"/>
    <cellStyle name="Normal 32 3" xfId="573"/>
    <cellStyle name="Normal 33" xfId="201"/>
    <cellStyle name="Normal 33 2" xfId="441"/>
    <cellStyle name="Normal 33 3" xfId="574"/>
    <cellStyle name="Normal 34" xfId="98"/>
    <cellStyle name="Normal 34 2" xfId="350"/>
    <cellStyle name="Normal 34 3" xfId="502"/>
    <cellStyle name="Normal 35" xfId="99"/>
    <cellStyle name="Normal 35 2" xfId="351"/>
    <cellStyle name="Normal 35 3" xfId="503"/>
    <cellStyle name="Normal 36" xfId="202"/>
    <cellStyle name="Normal 36 2" xfId="442"/>
    <cellStyle name="Normal 36 3" xfId="575"/>
    <cellStyle name="Normal 37" xfId="100"/>
    <cellStyle name="Normal 38" xfId="101"/>
    <cellStyle name="Normal 39" xfId="203"/>
    <cellStyle name="Normal 39 2" xfId="443"/>
    <cellStyle name="Normal 39 3" xfId="576"/>
    <cellStyle name="Normal 4" xfId="179"/>
    <cellStyle name="Normal 4 10" xfId="102"/>
    <cellStyle name="Normal 4 10 2" xfId="353"/>
    <cellStyle name="Normal 4 10 3" xfId="504"/>
    <cellStyle name="Normal 4 11" xfId="103"/>
    <cellStyle name="Normal 4 11 2" xfId="354"/>
    <cellStyle name="Normal 4 11 3" xfId="505"/>
    <cellStyle name="Normal 4 12" xfId="104"/>
    <cellStyle name="Normal 4 12 2" xfId="355"/>
    <cellStyle name="Normal 4 12 3" xfId="506"/>
    <cellStyle name="Normal 4 13" xfId="105"/>
    <cellStyle name="Normal 4 13 2" xfId="356"/>
    <cellStyle name="Normal 4 13 3" xfId="507"/>
    <cellStyle name="Normal 4 14" xfId="106"/>
    <cellStyle name="Normal 4 14 2" xfId="357"/>
    <cellStyle name="Normal 4 14 3" xfId="508"/>
    <cellStyle name="Normal 4 15" xfId="163"/>
    <cellStyle name="Normal 4 15 2" xfId="404"/>
    <cellStyle name="Normal 4 15 3" xfId="539"/>
    <cellStyle name="Normal 4 16" xfId="171"/>
    <cellStyle name="Normal 4 16 2" xfId="411"/>
    <cellStyle name="Normal 4 16 3" xfId="545"/>
    <cellStyle name="Normal 4 17" xfId="190"/>
    <cellStyle name="Normal 4 17 2" xfId="430"/>
    <cellStyle name="Normal 4 17 3" xfId="563"/>
    <cellStyle name="Normal 4 18" xfId="228"/>
    <cellStyle name="Normal 4 18 2" xfId="468"/>
    <cellStyle name="Normal 4 18 3" xfId="597"/>
    <cellStyle name="Normal 4 19" xfId="215"/>
    <cellStyle name="Normal 4 19 2" xfId="455"/>
    <cellStyle name="Normal 4 19 3" xfId="585"/>
    <cellStyle name="Normal 4 2" xfId="107"/>
    <cellStyle name="Normal 4 2 2" xfId="358"/>
    <cellStyle name="Normal 4 2 3" xfId="509"/>
    <cellStyle name="Normal 4 20" xfId="225"/>
    <cellStyle name="Normal 4 20 2" xfId="465"/>
    <cellStyle name="Normal 4 20 3" xfId="595"/>
    <cellStyle name="Normal 4 21" xfId="212"/>
    <cellStyle name="Normal 4 21 2" xfId="452"/>
    <cellStyle name="Normal 4 21 3" xfId="583"/>
    <cellStyle name="Normal 4 22" xfId="419"/>
    <cellStyle name="Normal 4 23" xfId="552"/>
    <cellStyle name="Normal 4 3" xfId="108"/>
    <cellStyle name="Normal 4 3 2" xfId="359"/>
    <cellStyle name="Normal 4 3 3" xfId="510"/>
    <cellStyle name="Normal 4 4" xfId="109"/>
    <cellStyle name="Normal 4 4 2" xfId="360"/>
    <cellStyle name="Normal 4 4 3" xfId="511"/>
    <cellStyle name="Normal 4 5" xfId="110"/>
    <cellStyle name="Normal 4 5 2" xfId="361"/>
    <cellStyle name="Normal 4 5 3" xfId="512"/>
    <cellStyle name="Normal 4 6" xfId="111"/>
    <cellStyle name="Normal 4 6 2" xfId="362"/>
    <cellStyle name="Normal 4 6 3" xfId="513"/>
    <cellStyle name="Normal 4 7" xfId="112"/>
    <cellStyle name="Normal 4 7 2" xfId="363"/>
    <cellStyle name="Normal 4 7 3" xfId="514"/>
    <cellStyle name="Normal 4 8" xfId="113"/>
    <cellStyle name="Normal 4 8 2" xfId="364"/>
    <cellStyle name="Normal 4 8 3" xfId="515"/>
    <cellStyle name="Normal 4 9" xfId="114"/>
    <cellStyle name="Normal 4 9 2" xfId="365"/>
    <cellStyle name="Normal 4 9 3" xfId="516"/>
    <cellStyle name="Normal 40" xfId="156"/>
    <cellStyle name="Normal 40 2" xfId="397"/>
    <cellStyle name="Normal 40 3" xfId="532"/>
    <cellStyle name="Normal 41" xfId="157"/>
    <cellStyle name="Normal 41 2" xfId="398"/>
    <cellStyle name="Normal 41 3" xfId="533"/>
    <cellStyle name="Normal 42" xfId="158"/>
    <cellStyle name="Normal 42 2" xfId="399"/>
    <cellStyle name="Normal 42 3" xfId="534"/>
    <cellStyle name="Normal 43" xfId="204"/>
    <cellStyle name="Normal 43 2" xfId="444"/>
    <cellStyle name="Normal 43 3" xfId="577"/>
    <cellStyle name="Normal 44" xfId="159"/>
    <cellStyle name="Normal 44 2" xfId="400"/>
    <cellStyle name="Normal 44 3" xfId="535"/>
    <cellStyle name="Normal 45" xfId="166"/>
    <cellStyle name="Normal 45 2" xfId="406"/>
    <cellStyle name="Normal 45 3" xfId="541"/>
    <cellStyle name="Normal 46" xfId="167"/>
    <cellStyle name="Normal 47" xfId="174"/>
    <cellStyle name="Normal 47 2" xfId="414"/>
    <cellStyle name="Normal 47 3" xfId="547"/>
    <cellStyle name="Normal 48" xfId="205"/>
    <cellStyle name="Normal 48 2" xfId="445"/>
    <cellStyle name="Normal 48 3" xfId="578"/>
    <cellStyle name="Normal 49" xfId="206"/>
    <cellStyle name="Normal 49 2" xfId="446"/>
    <cellStyle name="Normal 49 3" xfId="579"/>
    <cellStyle name="Normal 5" xfId="191"/>
    <cellStyle name="Normal 5 10" xfId="115"/>
    <cellStyle name="Normal 5 10 2" xfId="366"/>
    <cellStyle name="Normal 5 10 3" xfId="517"/>
    <cellStyle name="Normal 5 11" xfId="116"/>
    <cellStyle name="Normal 5 11 2" xfId="367"/>
    <cellStyle name="Normal 5 11 3" xfId="518"/>
    <cellStyle name="Normal 5 12" xfId="117"/>
    <cellStyle name="Normal 5 12 2" xfId="368"/>
    <cellStyle name="Normal 5 12 3" xfId="519"/>
    <cellStyle name="Normal 5 13" xfId="118"/>
    <cellStyle name="Normal 5 13 2" xfId="369"/>
    <cellStyle name="Normal 5 13 3" xfId="520"/>
    <cellStyle name="Normal 5 14" xfId="119"/>
    <cellStyle name="Normal 5 14 2" xfId="370"/>
    <cellStyle name="Normal 5 14 3" xfId="521"/>
    <cellStyle name="Normal 5 15" xfId="164"/>
    <cellStyle name="Normal 5 15 2" xfId="405"/>
    <cellStyle name="Normal 5 15 3" xfId="540"/>
    <cellStyle name="Normal 5 16" xfId="172"/>
    <cellStyle name="Normal 5 16 2" xfId="412"/>
    <cellStyle name="Normal 5 16 3" xfId="546"/>
    <cellStyle name="Normal 5 17" xfId="229"/>
    <cellStyle name="Normal 5 17 2" xfId="469"/>
    <cellStyle name="Normal 5 17 3" xfId="598"/>
    <cellStyle name="Normal 5 18" xfId="214"/>
    <cellStyle name="Normal 5 18 2" xfId="454"/>
    <cellStyle name="Normal 5 18 3" xfId="584"/>
    <cellStyle name="Normal 5 19" xfId="226"/>
    <cellStyle name="Normal 5 19 2" xfId="466"/>
    <cellStyle name="Normal 5 19 3" xfId="596"/>
    <cellStyle name="Normal 5 2" xfId="120"/>
    <cellStyle name="Normal 5 2 2" xfId="371"/>
    <cellStyle name="Normal 5 2 3" xfId="522"/>
    <cellStyle name="Normal 5 20" xfId="211"/>
    <cellStyle name="Normal 5 20 2" xfId="451"/>
    <cellStyle name="Normal 5 20 3" xfId="582"/>
    <cellStyle name="Normal 5 21" xfId="431"/>
    <cellStyle name="Normal 5 22" xfId="564"/>
    <cellStyle name="Normal 5 3" xfId="121"/>
    <cellStyle name="Normal 5 3 2" xfId="372"/>
    <cellStyle name="Normal 5 3 3" xfId="523"/>
    <cellStyle name="Normal 5 4" xfId="122"/>
    <cellStyle name="Normal 5 4 2" xfId="373"/>
    <cellStyle name="Normal 5 4 3" xfId="524"/>
    <cellStyle name="Normal 5 5" xfId="123"/>
    <cellStyle name="Normal 5 5 2" xfId="374"/>
    <cellStyle name="Normal 5 5 3" xfId="525"/>
    <cellStyle name="Normal 5 6" xfId="124"/>
    <cellStyle name="Normal 5 6 2" xfId="375"/>
    <cellStyle name="Normal 5 6 3" xfId="526"/>
    <cellStyle name="Normal 5 7" xfId="125"/>
    <cellStyle name="Normal 5 7 2" xfId="376"/>
    <cellStyle name="Normal 5 7 3" xfId="527"/>
    <cellStyle name="Normal 5 8" xfId="126"/>
    <cellStyle name="Normal 5 8 2" xfId="377"/>
    <cellStyle name="Normal 5 8 3" xfId="528"/>
    <cellStyle name="Normal 5 9" xfId="127"/>
    <cellStyle name="Normal 5 9 2" xfId="378"/>
    <cellStyle name="Normal 5 9 3" xfId="529"/>
    <cellStyle name="Normal 50" xfId="175"/>
    <cellStyle name="Normal 50 2" xfId="415"/>
    <cellStyle name="Normal 50 3" xfId="548"/>
    <cellStyle name="Normal 51" xfId="176"/>
    <cellStyle name="Normal 51 2" xfId="416"/>
    <cellStyle name="Normal 51 3" xfId="549"/>
    <cellStyle name="Normal 52" xfId="207"/>
    <cellStyle name="Normal 52 2" xfId="447"/>
    <cellStyle name="Normal 52 3" xfId="580"/>
    <cellStyle name="Normal 53" xfId="208"/>
    <cellStyle name="Normal 53 2" xfId="448"/>
    <cellStyle name="Normal 53 3" xfId="581"/>
    <cellStyle name="Normal 54" xfId="209"/>
    <cellStyle name="Normal 55" xfId="231"/>
    <cellStyle name="Normal 56" xfId="232"/>
    <cellStyle name="Normal 57" xfId="233"/>
    <cellStyle name="Normal 58" xfId="612"/>
    <cellStyle name="Normal 59" xfId="613"/>
    <cellStyle name="Normal 6" xfId="128"/>
    <cellStyle name="Normal 6 10" xfId="129"/>
    <cellStyle name="Normal 6 11" xfId="130"/>
    <cellStyle name="Normal 6 12" xfId="131"/>
    <cellStyle name="Normal 6 13" xfId="132"/>
    <cellStyle name="Normal 6 14" xfId="133"/>
    <cellStyle name="Normal 6 15" xfId="165"/>
    <cellStyle name="Normal 6 16" xfId="173"/>
    <cellStyle name="Normal 6 17" xfId="192"/>
    <cellStyle name="Normal 6 17 2" xfId="432"/>
    <cellStyle name="Normal 6 17 3" xfId="565"/>
    <cellStyle name="Normal 6 18" xfId="230"/>
    <cellStyle name="Normal 6 19" xfId="213"/>
    <cellStyle name="Normal 6 2" xfId="134"/>
    <cellStyle name="Normal 6 20" xfId="227"/>
    <cellStyle name="Normal 6 21" xfId="210"/>
    <cellStyle name="Normal 6 3" xfId="135"/>
    <cellStyle name="Normal 6 4" xfId="136"/>
    <cellStyle name="Normal 6 5" xfId="137"/>
    <cellStyle name="Normal 6 6" xfId="138"/>
    <cellStyle name="Normal 6 7" xfId="139"/>
    <cellStyle name="Normal 6 8" xfId="140"/>
    <cellStyle name="Normal 6 9" xfId="141"/>
    <cellStyle name="Normal 6_Sheet1" xfId="250"/>
    <cellStyle name="Normal 60" xfId="618"/>
    <cellStyle name="Normal 61" xfId="614"/>
    <cellStyle name="Normal 62" xfId="615"/>
    <cellStyle name="Normal 63" xfId="619"/>
    <cellStyle name="Normal 64" xfId="616"/>
    <cellStyle name="Normal 65" xfId="617"/>
    <cellStyle name="Normal 66" xfId="624"/>
    <cellStyle name="Normal 67" xfId="626"/>
    <cellStyle name="Normal 7" xfId="142"/>
    <cellStyle name="Normal 7 2" xfId="193"/>
    <cellStyle name="Normal 7 2 2" xfId="433"/>
    <cellStyle name="Normal 7 2 3" xfId="566"/>
    <cellStyle name="Normal 7_Sheet1" xfId="251"/>
    <cellStyle name="Normal 8" xfId="143"/>
    <cellStyle name="Normal 8 2" xfId="194"/>
    <cellStyle name="Normal 8 2 2" xfId="434"/>
    <cellStyle name="Normal 8 2 3" xfId="567"/>
    <cellStyle name="Normal 8_Sheet1" xfId="252"/>
    <cellStyle name="Normal 9" xfId="144"/>
    <cellStyle name="Normal 9 2" xfId="195"/>
    <cellStyle name="Normal 9 2 2" xfId="435"/>
    <cellStyle name="Normal 9 2 3" xfId="568"/>
    <cellStyle name="Normal 9 3" xfId="391"/>
    <cellStyle name="Normal 9 4" xfId="530"/>
    <cellStyle name="Normal_ACCOUNTS" xfId="604"/>
    <cellStyle name="Normal_TAC29394.XLS" xfId="605"/>
    <cellStyle name="NoteHeading" xfId="636"/>
    <cellStyle name="NoteItem" xfId="658"/>
    <cellStyle name="NoteNum" xfId="633"/>
    <cellStyle name="NoteSection" xfId="664"/>
    <cellStyle name="NoteSubItem" xfId="651"/>
    <cellStyle name="NoteSubTotal" xfId="665"/>
    <cellStyle name="OpSub" xfId="666"/>
    <cellStyle name="Percent" xfId="610" builtinId="5"/>
    <cellStyle name="Percent 2" xfId="609"/>
    <cellStyle name="Percent 2 10" xfId="531"/>
    <cellStyle name="Percent 2 11" xfId="600"/>
    <cellStyle name="Percent 2 12" xfId="599"/>
    <cellStyle name="Percent 2 13" xfId="701"/>
    <cellStyle name="Percent 2 2" xfId="145"/>
    <cellStyle name="Percent 2 3" xfId="146"/>
    <cellStyle name="Percent 2 4" xfId="147"/>
    <cellStyle name="Percent 2 5" xfId="148"/>
    <cellStyle name="Percent 2 6" xfId="149"/>
    <cellStyle name="Percent 2 7" xfId="150"/>
    <cellStyle name="Percent 2 8" xfId="151"/>
    <cellStyle name="Percent 2 9" xfId="393"/>
    <cellStyle name="Percent 3" xfId="638"/>
    <cellStyle name="Percent 3 2" xfId="678"/>
    <cellStyle name="Percent 3 2 2" xfId="686"/>
    <cellStyle name="Percent 3 2 3" xfId="695"/>
    <cellStyle name="Percent 3 3" xfId="677"/>
    <cellStyle name="Percent 3 3 2" xfId="685"/>
    <cellStyle name="Percent 3 3 3" xfId="694"/>
    <cellStyle name="Percent 3 4" xfId="681"/>
    <cellStyle name="Percent 3 5" xfId="688"/>
    <cellStyle name="Percent 4" xfId="680"/>
    <cellStyle name="Plain" xfId="634"/>
    <cellStyle name="SectHeader" xfId="667"/>
    <cellStyle name="SectHeaderLev2" xfId="668"/>
    <cellStyle name="SectLev2SubTotal" xfId="669"/>
    <cellStyle name="SectSubHeader" xfId="650"/>
    <cellStyle name="SectSubHeaderTotal" xfId="652"/>
    <cellStyle name="SectSubTotal" xfId="670"/>
    <cellStyle name="SubNoteNum" xfId="671"/>
    <cellStyle name="SubNoteSection" xfId="672"/>
    <cellStyle name="SubNoteSectionTotal" xfId="673"/>
    <cellStyle name="TextEntry" xfId="674"/>
    <cellStyle name="TextEntryPY" xfId="699"/>
    <cellStyle name="Title 1" xfId="152"/>
    <cellStyle name="Title 2" xfId="153"/>
    <cellStyle name="Title 3" xfId="154"/>
    <cellStyle name="Title 4" xfId="155"/>
    <cellStyle name="ValNum" xfId="6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
    <tabColor theme="0"/>
  </sheetPr>
  <dimension ref="A22:E31"/>
  <sheetViews>
    <sheetView topLeftCell="A19" zoomScale="90" zoomScaleNormal="90" workbookViewId="0">
      <selection activeCell="B46" sqref="B46"/>
    </sheetView>
  </sheetViews>
  <sheetFormatPr defaultRowHeight="12.75" customHeight="1"/>
  <cols>
    <col min="1" max="1" width="21.140625" style="351" customWidth="1"/>
    <col min="2" max="2" width="60.28515625" style="351" customWidth="1"/>
    <col min="3" max="4" width="9.140625" style="351"/>
    <col min="5" max="5" width="16.42578125" style="351" bestFit="1" customWidth="1"/>
    <col min="6" max="16384" width="9.140625" style="351"/>
  </cols>
  <sheetData>
    <row r="22" spans="1:5" ht="15.75">
      <c r="B22" s="1" t="str">
        <f>"Annual Statutory Accounts  - Year Ending " &amp; TEXT(This_year_ended, "dd mmmm yyyy")</f>
        <v>Annual Statutory Accounts  - Year Ending 31 March 2013</v>
      </c>
    </row>
    <row r="25" spans="1:5" ht="15.75">
      <c r="A25" s="2" t="s">
        <v>0</v>
      </c>
      <c r="B25" s="1" t="s">
        <v>6</v>
      </c>
    </row>
    <row r="26" spans="1:5" ht="15.75">
      <c r="A26" s="2" t="s">
        <v>1</v>
      </c>
      <c r="B26" s="3" t="s">
        <v>628</v>
      </c>
    </row>
    <row r="27" spans="1:5" ht="15.75">
      <c r="A27" s="2" t="s">
        <v>2</v>
      </c>
      <c r="B27" s="3" t="s">
        <v>470</v>
      </c>
    </row>
    <row r="28" spans="1:5" ht="15.75">
      <c r="A28" s="2" t="s">
        <v>3</v>
      </c>
      <c r="B28" s="3">
        <v>41364</v>
      </c>
      <c r="E28" s="359"/>
    </row>
    <row r="29" spans="1:5" ht="15.75">
      <c r="A29" s="2" t="s">
        <v>4</v>
      </c>
      <c r="B29" s="3">
        <v>40999</v>
      </c>
      <c r="E29" s="359"/>
    </row>
    <row r="30" spans="1:5" ht="15.75">
      <c r="A30" s="2" t="s">
        <v>5</v>
      </c>
      <c r="B30" s="30" t="s">
        <v>629</v>
      </c>
      <c r="E30" s="359"/>
    </row>
    <row r="31" spans="1:5" ht="15.75">
      <c r="A31" s="2" t="s">
        <v>508</v>
      </c>
      <c r="B31" s="30" t="s">
        <v>471</v>
      </c>
      <c r="E31" s="359"/>
    </row>
  </sheetData>
  <pageMargins left="0.70866141732283472" right="0.70866141732283472" top="0.74803149606299213" bottom="0.74803149606299213" header="0.31496062992125984" footer="0.31496062992125984"/>
  <pageSetup paperSize="9" orientation="portrait" verticalDpi="200" r:id="rId1"/>
</worksheet>
</file>

<file path=xl/worksheets/sheet10.xml><?xml version="1.0" encoding="utf-8"?>
<worksheet xmlns="http://schemas.openxmlformats.org/spreadsheetml/2006/main" xmlns:r="http://schemas.openxmlformats.org/officeDocument/2006/relationships">
  <sheetPr codeName="Sheet10">
    <pageSetUpPr fitToPage="1"/>
  </sheetPr>
  <dimension ref="A1:F42"/>
  <sheetViews>
    <sheetView view="pageLayout" topLeftCell="A49" zoomScale="70" zoomScaleNormal="85" zoomScalePageLayoutView="70" workbookViewId="0">
      <selection activeCell="B46" sqref="B46"/>
    </sheetView>
  </sheetViews>
  <sheetFormatPr defaultRowHeight="15"/>
  <cols>
    <col min="1" max="1" width="5.140625" style="196" bestFit="1" customWidth="1"/>
    <col min="2" max="2" width="67.42578125" style="49" customWidth="1"/>
    <col min="3" max="3" width="11.42578125" style="194" customWidth="1"/>
    <col min="4" max="4" width="2.7109375" style="157" customWidth="1"/>
    <col min="5" max="5" width="9.42578125" style="195" customWidth="1"/>
    <col min="6" max="6" width="2.5703125" style="49" customWidth="1"/>
    <col min="7" max="16384" width="9.140625" style="49"/>
  </cols>
  <sheetData>
    <row r="1" spans="1:6">
      <c r="A1" s="58"/>
      <c r="B1" s="19"/>
      <c r="C1" s="124"/>
      <c r="D1" s="125"/>
      <c r="E1" s="125"/>
      <c r="F1" s="19"/>
    </row>
    <row r="2" spans="1:6" s="127" customFormat="1" ht="15.75">
      <c r="A2" s="126">
        <v>4</v>
      </c>
      <c r="B2" s="14" t="s">
        <v>10</v>
      </c>
      <c r="C2" s="120"/>
      <c r="D2" s="120"/>
      <c r="E2" s="121"/>
      <c r="F2" s="14"/>
    </row>
    <row r="3" spans="1:6" s="127" customFormat="1">
      <c r="A3" s="29"/>
      <c r="B3" s="14"/>
      <c r="C3" s="120" t="str">
        <f>This_year</f>
        <v>2012/13</v>
      </c>
      <c r="D3" s="120"/>
      <c r="E3" s="121" t="str">
        <f>Last_year</f>
        <v>2011/12</v>
      </c>
      <c r="F3" s="14"/>
    </row>
    <row r="4" spans="1:6">
      <c r="A4" s="20"/>
      <c r="B4" s="13"/>
      <c r="C4" s="12" t="s">
        <v>24</v>
      </c>
      <c r="D4" s="121"/>
      <c r="E4" s="128" t="s">
        <v>24</v>
      </c>
      <c r="F4" s="13"/>
    </row>
    <row r="5" spans="1:6">
      <c r="A5" s="20"/>
      <c r="B5" s="116" t="s">
        <v>150</v>
      </c>
      <c r="C5" s="519">
        <v>239762</v>
      </c>
      <c r="D5" s="130"/>
      <c r="E5" s="520">
        <v>233275</v>
      </c>
      <c r="F5" s="13"/>
    </row>
    <row r="6" spans="1:6">
      <c r="A6" s="20"/>
      <c r="B6" s="116" t="s">
        <v>151</v>
      </c>
      <c r="C6" s="519">
        <v>40035</v>
      </c>
      <c r="D6" s="130"/>
      <c r="E6" s="520">
        <v>39234</v>
      </c>
      <c r="F6" s="13"/>
    </row>
    <row r="7" spans="1:6" ht="15.75" thickBot="1">
      <c r="A7" s="20"/>
      <c r="B7" s="13"/>
      <c r="C7" s="131">
        <f>SUM(C5:C6)</f>
        <v>279797</v>
      </c>
      <c r="D7" s="130"/>
      <c r="E7" s="132">
        <f>SUM(E5:E6)</f>
        <v>272509</v>
      </c>
      <c r="F7" s="13"/>
    </row>
    <row r="8" spans="1:6" ht="15.75" thickTop="1">
      <c r="A8" s="20"/>
      <c r="B8" s="13"/>
      <c r="C8" s="120"/>
      <c r="D8" s="121"/>
      <c r="E8" s="121"/>
      <c r="F8" s="13"/>
    </row>
    <row r="9" spans="1:6" s="127" customFormat="1" ht="15.75">
      <c r="A9" s="126">
        <v>5</v>
      </c>
      <c r="B9" s="14" t="s">
        <v>150</v>
      </c>
      <c r="C9" s="120"/>
      <c r="D9" s="120"/>
      <c r="E9" s="121"/>
      <c r="F9" s="14"/>
    </row>
    <row r="10" spans="1:6" ht="15.75">
      <c r="A10" s="183"/>
      <c r="B10" s="115"/>
      <c r="C10" s="120"/>
      <c r="D10" s="121"/>
      <c r="E10" s="121"/>
      <c r="F10" s="13"/>
    </row>
    <row r="11" spans="1:6" s="127" customFormat="1">
      <c r="A11" s="29">
        <v>5.0999999999999996</v>
      </c>
      <c r="B11" s="14" t="s">
        <v>720</v>
      </c>
      <c r="C11" s="120"/>
      <c r="D11" s="120"/>
      <c r="E11" s="121"/>
      <c r="F11" s="14"/>
    </row>
    <row r="12" spans="1:6" s="127" customFormat="1">
      <c r="A12" s="29"/>
      <c r="B12" s="14"/>
      <c r="C12" s="120" t="str">
        <f>This_year</f>
        <v>2012/13</v>
      </c>
      <c r="D12" s="120"/>
      <c r="E12" s="121" t="str">
        <f>Last_year</f>
        <v>2011/12</v>
      </c>
      <c r="F12" s="14"/>
    </row>
    <row r="13" spans="1:6">
      <c r="A13" s="20"/>
      <c r="B13" s="13"/>
      <c r="C13" s="12" t="s">
        <v>24</v>
      </c>
      <c r="D13" s="121"/>
      <c r="E13" s="128" t="s">
        <v>24</v>
      </c>
      <c r="F13" s="13"/>
    </row>
    <row r="14" spans="1:6">
      <c r="A14" s="20"/>
      <c r="B14" s="381" t="s">
        <v>721</v>
      </c>
      <c r="C14" s="12"/>
      <c r="D14" s="121"/>
      <c r="E14" s="128"/>
      <c r="F14" s="13"/>
    </row>
    <row r="15" spans="1:6">
      <c r="A15" s="20"/>
      <c r="B15" s="184" t="s">
        <v>527</v>
      </c>
      <c r="C15" s="373">
        <v>129022</v>
      </c>
      <c r="D15" s="130"/>
      <c r="E15" s="520">
        <v>129603</v>
      </c>
      <c r="F15" s="13"/>
    </row>
    <row r="16" spans="1:6">
      <c r="A16" s="20"/>
      <c r="B16" s="184" t="s">
        <v>528</v>
      </c>
      <c r="C16" s="373">
        <v>1919</v>
      </c>
      <c r="D16" s="130"/>
      <c r="E16" s="520">
        <v>2325</v>
      </c>
      <c r="F16" s="13"/>
    </row>
    <row r="17" spans="1:6" ht="14.25" customHeight="1">
      <c r="A17" s="20"/>
      <c r="B17" s="508" t="s">
        <v>683</v>
      </c>
      <c r="C17" s="373">
        <v>2861</v>
      </c>
      <c r="D17" s="130"/>
      <c r="E17" s="520">
        <v>2846</v>
      </c>
      <c r="F17" s="13"/>
    </row>
    <row r="18" spans="1:6">
      <c r="A18" s="20"/>
      <c r="B18" s="184" t="s">
        <v>529</v>
      </c>
      <c r="C18" s="373">
        <v>2484</v>
      </c>
      <c r="D18" s="130"/>
      <c r="E18" s="520">
        <v>2484</v>
      </c>
      <c r="F18" s="13"/>
    </row>
    <row r="19" spans="1:6">
      <c r="A19" s="20"/>
      <c r="B19" s="381" t="s">
        <v>722</v>
      </c>
      <c r="C19" s="373">
        <v>103448</v>
      </c>
      <c r="D19" s="130"/>
      <c r="E19" s="520">
        <v>95998</v>
      </c>
      <c r="F19" s="13"/>
    </row>
    <row r="20" spans="1:6">
      <c r="A20" s="20"/>
      <c r="B20" s="184" t="s">
        <v>152</v>
      </c>
      <c r="C20" s="373">
        <v>28</v>
      </c>
      <c r="D20" s="130"/>
      <c r="E20" s="520">
        <v>19</v>
      </c>
      <c r="F20" s="13"/>
    </row>
    <row r="21" spans="1:6" ht="15.75" thickBot="1">
      <c r="A21" s="20"/>
      <c r="B21" s="13"/>
      <c r="C21" s="131">
        <f>SUM(C15:C20)</f>
        <v>239762</v>
      </c>
      <c r="D21" s="130"/>
      <c r="E21" s="132">
        <f>SUM(E15:E20)</f>
        <v>233275</v>
      </c>
      <c r="F21" s="13"/>
    </row>
    <row r="22" spans="1:6" ht="15.75" thickTop="1">
      <c r="A22" s="20"/>
      <c r="B22" s="184" t="s">
        <v>153</v>
      </c>
      <c r="C22" s="120"/>
      <c r="D22" s="121"/>
      <c r="E22" s="121"/>
      <c r="F22" s="13"/>
    </row>
    <row r="23" spans="1:6">
      <c r="A23" s="20"/>
      <c r="B23" s="13"/>
      <c r="C23" s="120"/>
      <c r="D23" s="121"/>
      <c r="E23" s="121"/>
      <c r="F23" s="13"/>
    </row>
    <row r="24" spans="1:6" s="127" customFormat="1">
      <c r="A24" s="29">
        <v>5.2</v>
      </c>
      <c r="B24" s="185" t="s">
        <v>723</v>
      </c>
      <c r="C24" s="120"/>
      <c r="D24" s="120"/>
      <c r="E24" s="121"/>
      <c r="F24" s="14"/>
    </row>
    <row r="25" spans="1:6" s="127" customFormat="1">
      <c r="A25" s="29"/>
      <c r="B25" s="14"/>
      <c r="C25" s="120" t="str">
        <f>This_year</f>
        <v>2012/13</v>
      </c>
      <c r="D25" s="120"/>
      <c r="E25" s="121" t="str">
        <f>Last_year</f>
        <v>2011/12</v>
      </c>
      <c r="F25" s="14"/>
    </row>
    <row r="26" spans="1:6" s="189" customFormat="1">
      <c r="A26" s="20"/>
      <c r="B26" s="13"/>
      <c r="C26" s="186" t="s">
        <v>24</v>
      </c>
      <c r="D26" s="187"/>
      <c r="E26" s="188" t="s">
        <v>24</v>
      </c>
      <c r="F26" s="13"/>
    </row>
    <row r="27" spans="1:6" s="189" customFormat="1">
      <c r="A27" s="20"/>
      <c r="B27" s="184" t="s">
        <v>724</v>
      </c>
      <c r="C27" s="186">
        <v>219535</v>
      </c>
      <c r="D27" s="130"/>
      <c r="E27" s="520">
        <v>214707</v>
      </c>
      <c r="F27" s="13"/>
    </row>
    <row r="28" spans="1:6" s="189" customFormat="1">
      <c r="A28" s="20"/>
      <c r="B28" s="184" t="s">
        <v>725</v>
      </c>
      <c r="C28" s="373">
        <v>15555</v>
      </c>
      <c r="D28" s="130"/>
      <c r="E28" s="520">
        <v>13853</v>
      </c>
      <c r="F28" s="13"/>
    </row>
    <row r="29" spans="1:6" s="189" customFormat="1">
      <c r="A29" s="20"/>
      <c r="B29" s="184" t="s">
        <v>726</v>
      </c>
      <c r="C29" s="129">
        <v>2782</v>
      </c>
      <c r="D29" s="130"/>
      <c r="E29" s="520">
        <v>2907</v>
      </c>
      <c r="F29" s="13"/>
    </row>
    <row r="30" spans="1:6" s="189" customFormat="1">
      <c r="A30" s="20"/>
      <c r="B30" s="184" t="s">
        <v>517</v>
      </c>
      <c r="C30" s="129">
        <v>1105</v>
      </c>
      <c r="D30" s="130"/>
      <c r="E30" s="520">
        <v>1108</v>
      </c>
      <c r="F30" s="13"/>
    </row>
    <row r="31" spans="1:6" s="189" customFormat="1">
      <c r="A31" s="20"/>
      <c r="B31" s="184" t="s">
        <v>727</v>
      </c>
      <c r="C31" s="129">
        <v>644</v>
      </c>
      <c r="D31" s="130"/>
      <c r="E31" s="520">
        <v>529</v>
      </c>
      <c r="F31" s="13"/>
    </row>
    <row r="32" spans="1:6" s="189" customFormat="1">
      <c r="A32" s="20"/>
      <c r="B32" s="184" t="s">
        <v>291</v>
      </c>
      <c r="C32" s="373">
        <v>113</v>
      </c>
      <c r="D32" s="130"/>
      <c r="E32" s="520">
        <v>100</v>
      </c>
      <c r="F32" s="13"/>
    </row>
    <row r="33" spans="1:6" s="189" customFormat="1">
      <c r="A33" s="20"/>
      <c r="B33" s="191" t="s">
        <v>728</v>
      </c>
      <c r="C33" s="373">
        <v>0</v>
      </c>
      <c r="D33" s="130"/>
      <c r="E33" s="520">
        <v>52</v>
      </c>
      <c r="F33" s="13"/>
    </row>
    <row r="34" spans="1:6" s="189" customFormat="1">
      <c r="A34" s="20"/>
      <c r="B34" s="191" t="s">
        <v>518</v>
      </c>
      <c r="C34" s="373">
        <v>28</v>
      </c>
      <c r="D34" s="130"/>
      <c r="E34" s="520">
        <v>19</v>
      </c>
      <c r="F34" s="13"/>
    </row>
    <row r="35" spans="1:6" s="189" customFormat="1" ht="15.75" thickBot="1">
      <c r="A35" s="20"/>
      <c r="B35" s="13"/>
      <c r="C35" s="131">
        <f>SUM(C27:C34)</f>
        <v>239762</v>
      </c>
      <c r="D35" s="130"/>
      <c r="E35" s="132">
        <f>SUM(E27:E34)</f>
        <v>233275</v>
      </c>
      <c r="F35" s="13"/>
    </row>
    <row r="36" spans="1:6" ht="15.75" thickTop="1">
      <c r="A36" s="20"/>
      <c r="B36" s="13"/>
      <c r="C36" s="120"/>
      <c r="D36" s="121"/>
      <c r="E36" s="121"/>
      <c r="F36" s="13"/>
    </row>
    <row r="37" spans="1:6" s="189" customFormat="1">
      <c r="A37" s="192">
        <v>5.3</v>
      </c>
      <c r="B37" s="193" t="s">
        <v>152</v>
      </c>
      <c r="C37" s="194"/>
      <c r="D37" s="195"/>
      <c r="E37" s="195"/>
    </row>
    <row r="38" spans="1:6">
      <c r="A38" s="20"/>
      <c r="B38" s="26"/>
      <c r="C38" s="26"/>
      <c r="D38" s="116"/>
      <c r="E38" s="116"/>
      <c r="F38" s="116"/>
    </row>
    <row r="39" spans="1:6" ht="69" customHeight="1">
      <c r="A39" s="20"/>
      <c r="B39" s="660" t="s">
        <v>682</v>
      </c>
      <c r="C39" s="660"/>
      <c r="D39" s="660"/>
      <c r="E39" s="660"/>
      <c r="F39" s="660"/>
    </row>
    <row r="40" spans="1:6">
      <c r="B40" s="659"/>
      <c r="C40" s="659"/>
      <c r="D40" s="659"/>
      <c r="E40" s="659"/>
      <c r="F40" s="382"/>
    </row>
    <row r="41" spans="1:6">
      <c r="B41" s="659"/>
      <c r="C41" s="659"/>
      <c r="D41" s="659"/>
      <c r="E41" s="659"/>
      <c r="F41" s="659"/>
    </row>
    <row r="42" spans="1:6">
      <c r="B42" s="498"/>
      <c r="C42" s="198"/>
      <c r="D42" s="199"/>
      <c r="E42" s="199"/>
      <c r="F42" s="197"/>
    </row>
  </sheetData>
  <mergeCells count="3">
    <mergeCell ref="B40:E40"/>
    <mergeCell ref="B41:F41"/>
    <mergeCell ref="B39:F39"/>
  </mergeCells>
  <pageMargins left="0.7" right="0.7" top="0.51041666666666663" bottom="0.75" header="0.3" footer="0.3"/>
  <pageSetup paperSize="9" scale="88" orientation="portrait" verticalDpi="200" r:id="rId1"/>
  <headerFooter scaleWithDoc="0">
    <oddHeader>&amp;COxford Health NHS Foundation Trust - Annual Accounts 2012/13</oddHeader>
    <oddFooter>&amp;CPage 16</oddFooter>
  </headerFooter>
</worksheet>
</file>

<file path=xl/worksheets/sheet11.xml><?xml version="1.0" encoding="utf-8"?>
<worksheet xmlns="http://schemas.openxmlformats.org/spreadsheetml/2006/main" xmlns:r="http://schemas.openxmlformats.org/officeDocument/2006/relationships">
  <sheetPr codeName="Sheet11">
    <pageSetUpPr fitToPage="1"/>
  </sheetPr>
  <dimension ref="A1:G57"/>
  <sheetViews>
    <sheetView view="pageLayout" topLeftCell="A34" zoomScale="90" zoomScalePageLayoutView="90" workbookViewId="0">
      <selection activeCell="B46" sqref="B46"/>
    </sheetView>
  </sheetViews>
  <sheetFormatPr defaultRowHeight="15"/>
  <cols>
    <col min="1" max="1" width="3.85546875" style="49" customWidth="1"/>
    <col min="2" max="2" width="57.7109375" style="49" bestFit="1" customWidth="1"/>
    <col min="3" max="3" width="10.7109375" style="194" customWidth="1"/>
    <col min="4" max="4" width="2.85546875" style="157" customWidth="1"/>
    <col min="5" max="5" width="9.140625" style="195"/>
    <col min="6" max="6" width="3.85546875" style="49" customWidth="1"/>
    <col min="7" max="16384" width="9.140625" style="49"/>
  </cols>
  <sheetData>
    <row r="1" spans="1:5" ht="12" customHeight="1">
      <c r="A1" s="50"/>
      <c r="B1" s="50"/>
      <c r="C1" s="200"/>
      <c r="D1" s="201"/>
      <c r="E1" s="202"/>
    </row>
    <row r="2" spans="1:5" ht="15.75">
      <c r="A2" s="113">
        <v>6</v>
      </c>
      <c r="B2" s="203" t="s">
        <v>151</v>
      </c>
    </row>
    <row r="3" spans="1:5">
      <c r="A3" s="116"/>
      <c r="B3" s="204"/>
      <c r="C3" s="120" t="str">
        <f>This_year</f>
        <v>2012/13</v>
      </c>
      <c r="D3" s="121"/>
      <c r="E3" s="121" t="str">
        <f>Last_year</f>
        <v>2011/12</v>
      </c>
    </row>
    <row r="4" spans="1:5">
      <c r="A4" s="116"/>
      <c r="B4" s="117"/>
      <c r="C4" s="12" t="s">
        <v>24</v>
      </c>
      <c r="D4" s="205"/>
      <c r="E4" s="128" t="s">
        <v>24</v>
      </c>
    </row>
    <row r="5" spans="1:5">
      <c r="A5" s="116"/>
      <c r="B5" s="184" t="s">
        <v>154</v>
      </c>
      <c r="C5" s="269">
        <f>16251-1</f>
        <v>16250</v>
      </c>
      <c r="D5" s="130"/>
      <c r="E5" s="246">
        <v>17392</v>
      </c>
    </row>
    <row r="6" spans="1:5">
      <c r="A6" s="116"/>
      <c r="B6" s="184" t="s">
        <v>155</v>
      </c>
      <c r="C6" s="269">
        <v>11249</v>
      </c>
      <c r="D6" s="130"/>
      <c r="E6" s="246">
        <v>11586</v>
      </c>
    </row>
    <row r="7" spans="1:5">
      <c r="A7" s="116"/>
      <c r="B7" s="184" t="s">
        <v>158</v>
      </c>
      <c r="C7" s="269">
        <v>5030</v>
      </c>
      <c r="D7" s="130"/>
      <c r="E7" s="246">
        <v>3707</v>
      </c>
    </row>
    <row r="8" spans="1:5">
      <c r="A8" s="116"/>
      <c r="B8" s="184" t="s">
        <v>156</v>
      </c>
      <c r="C8" s="269">
        <v>4917</v>
      </c>
      <c r="D8" s="130"/>
      <c r="E8" s="246">
        <v>3295</v>
      </c>
    </row>
    <row r="9" spans="1:5">
      <c r="A9" s="116"/>
      <c r="B9" s="184" t="s">
        <v>157</v>
      </c>
      <c r="C9" s="269">
        <v>2305</v>
      </c>
      <c r="D9" s="130"/>
      <c r="E9" s="246">
        <f>2825</f>
        <v>2825</v>
      </c>
    </row>
    <row r="10" spans="1:5">
      <c r="A10" s="116"/>
      <c r="B10" s="184" t="s">
        <v>530</v>
      </c>
      <c r="C10" s="269">
        <v>0</v>
      </c>
      <c r="D10" s="130"/>
      <c r="E10" s="246">
        <v>235</v>
      </c>
    </row>
    <row r="11" spans="1:5">
      <c r="A11" s="116"/>
      <c r="B11" s="184" t="s">
        <v>159</v>
      </c>
      <c r="C11" s="269">
        <f>284-66</f>
        <v>218</v>
      </c>
      <c r="D11" s="130"/>
      <c r="E11" s="246">
        <v>194</v>
      </c>
    </row>
    <row r="12" spans="1:5">
      <c r="A12" s="116"/>
      <c r="B12" s="184" t="s">
        <v>729</v>
      </c>
      <c r="C12" s="269">
        <v>66</v>
      </c>
      <c r="D12" s="49"/>
      <c r="E12" s="246">
        <v>0</v>
      </c>
    </row>
    <row r="13" spans="1:5" ht="15.75" thickBot="1">
      <c r="A13" s="116"/>
      <c r="B13" s="204"/>
      <c r="C13" s="131">
        <f>SUM(C5:C12)</f>
        <v>40035</v>
      </c>
      <c r="D13" s="130"/>
      <c r="E13" s="132">
        <f>SUM(E5:E12)</f>
        <v>39234</v>
      </c>
    </row>
    <row r="14" spans="1:5" ht="9" customHeight="1" thickTop="1"/>
    <row r="15" spans="1:5" ht="15.75">
      <c r="A15" s="113">
        <v>7</v>
      </c>
      <c r="B15" s="203" t="s">
        <v>11</v>
      </c>
    </row>
    <row r="16" spans="1:5">
      <c r="B16" s="13"/>
      <c r="C16" s="120" t="str">
        <f>This_year</f>
        <v>2012/13</v>
      </c>
      <c r="D16" s="121"/>
      <c r="E16" s="121" t="str">
        <f>Last_year</f>
        <v>2011/12</v>
      </c>
    </row>
    <row r="17" spans="2:5">
      <c r="B17" s="13"/>
      <c r="C17" s="12" t="s">
        <v>24</v>
      </c>
      <c r="D17" s="205"/>
      <c r="E17" s="128" t="s">
        <v>24</v>
      </c>
    </row>
    <row r="18" spans="2:5">
      <c r="B18" s="184" t="s">
        <v>160</v>
      </c>
      <c r="C18" s="269">
        <v>2610.4</v>
      </c>
      <c r="D18" s="130"/>
      <c r="E18" s="246">
        <v>1303.71351</v>
      </c>
    </row>
    <row r="19" spans="2:5">
      <c r="B19" s="116" t="s">
        <v>161</v>
      </c>
      <c r="C19" s="269">
        <v>1007.7245</v>
      </c>
      <c r="D19" s="130"/>
      <c r="E19" s="246">
        <v>2791.4427799999999</v>
      </c>
    </row>
    <row r="20" spans="2:5">
      <c r="B20" s="116" t="s">
        <v>665</v>
      </c>
      <c r="C20" s="269">
        <v>44.963250000000002</v>
      </c>
      <c r="D20" s="130"/>
      <c r="E20" s="246">
        <v>32.011369999999999</v>
      </c>
    </row>
    <row r="21" spans="2:5">
      <c r="B21" s="184" t="s">
        <v>162</v>
      </c>
      <c r="C21" s="269">
        <v>1130.55637</v>
      </c>
      <c r="D21" s="130"/>
      <c r="E21" s="246">
        <v>1410.2211499999999</v>
      </c>
    </row>
    <row r="22" spans="2:5">
      <c r="B22" s="184" t="s">
        <v>666</v>
      </c>
      <c r="C22" s="269">
        <v>959.50905</v>
      </c>
      <c r="D22" s="130"/>
      <c r="E22" s="246">
        <v>983.57951000000003</v>
      </c>
    </row>
    <row r="23" spans="2:5">
      <c r="B23" s="184" t="s">
        <v>667</v>
      </c>
      <c r="C23" s="269">
        <v>147.59110999999999</v>
      </c>
      <c r="D23" s="130"/>
      <c r="E23" s="246">
        <v>139.73016000000001</v>
      </c>
    </row>
    <row r="24" spans="2:5">
      <c r="B24" s="116" t="s">
        <v>668</v>
      </c>
      <c r="C24" s="269">
        <v>190835.59671000001</v>
      </c>
      <c r="D24" s="130"/>
      <c r="E24" s="246">
        <v>182742.87086000008</v>
      </c>
    </row>
    <row r="25" spans="2:5">
      <c r="B25" s="184" t="s">
        <v>669</v>
      </c>
      <c r="C25" s="269">
        <v>7946.468859999999</v>
      </c>
      <c r="D25" s="130"/>
      <c r="E25" s="246">
        <v>9377.6868700000014</v>
      </c>
    </row>
    <row r="26" spans="2:5">
      <c r="B26" s="184" t="s">
        <v>163</v>
      </c>
      <c r="C26" s="269">
        <v>2878.2434699999999</v>
      </c>
      <c r="D26" s="130"/>
      <c r="E26" s="246">
        <v>2866.2160400000002</v>
      </c>
    </row>
    <row r="27" spans="2:5">
      <c r="B27" s="184" t="s">
        <v>164</v>
      </c>
      <c r="C27" s="269">
        <f>7430.59425-115</f>
        <v>7315.5942500000001</v>
      </c>
      <c r="D27" s="130"/>
      <c r="E27" s="246">
        <v>7058.0652400000008</v>
      </c>
    </row>
    <row r="28" spans="2:5">
      <c r="B28" s="184" t="s">
        <v>165</v>
      </c>
      <c r="C28" s="269">
        <v>400.58631999999994</v>
      </c>
      <c r="D28" s="130"/>
      <c r="E28" s="246">
        <v>351.07698000000005</v>
      </c>
    </row>
    <row r="29" spans="2:5">
      <c r="B29" s="184" t="s">
        <v>166</v>
      </c>
      <c r="C29" s="269">
        <f>10596.95666+115</f>
        <v>10711.95666</v>
      </c>
      <c r="D29" s="130"/>
      <c r="E29" s="246">
        <v>9986.2533799999983</v>
      </c>
    </row>
    <row r="30" spans="2:5">
      <c r="B30" s="184" t="s">
        <v>867</v>
      </c>
      <c r="C30" s="269">
        <v>2.1538400000000024</v>
      </c>
      <c r="D30" s="130"/>
      <c r="E30" s="246">
        <v>68</v>
      </c>
    </row>
    <row r="31" spans="2:5">
      <c r="B31" s="184" t="s">
        <v>695</v>
      </c>
      <c r="C31" s="269">
        <v>444.20004000000006</v>
      </c>
      <c r="D31" s="130"/>
      <c r="E31" s="246">
        <v>0</v>
      </c>
    </row>
    <row r="32" spans="2:5">
      <c r="B32" s="184" t="s">
        <v>670</v>
      </c>
      <c r="C32" s="269">
        <v>91.347320000000011</v>
      </c>
      <c r="D32" s="130"/>
      <c r="E32" s="246">
        <v>137</v>
      </c>
    </row>
    <row r="33" spans="2:5">
      <c r="B33" s="184" t="s">
        <v>671</v>
      </c>
      <c r="C33" s="269">
        <v>1883.6222000000023</v>
      </c>
      <c r="D33" s="130"/>
      <c r="E33" s="246">
        <v>2184.4351100000031</v>
      </c>
    </row>
    <row r="34" spans="2:5">
      <c r="B34" s="184" t="s">
        <v>672</v>
      </c>
      <c r="C34" s="269">
        <v>681.55200999999988</v>
      </c>
      <c r="D34" s="130"/>
      <c r="E34" s="246">
        <v>679.31399999999996</v>
      </c>
    </row>
    <row r="35" spans="2:5">
      <c r="B35" s="184" t="s">
        <v>673</v>
      </c>
      <c r="C35" s="269">
        <v>17197.107230000001</v>
      </c>
      <c r="D35" s="130"/>
      <c r="E35" s="246">
        <v>18620.4729999999</v>
      </c>
    </row>
    <row r="36" spans="2:5">
      <c r="B36" s="184" t="s">
        <v>798</v>
      </c>
      <c r="C36" s="269">
        <v>8200.88472</v>
      </c>
      <c r="D36" s="130"/>
      <c r="E36" s="246">
        <v>8397.4860200000003</v>
      </c>
    </row>
    <row r="37" spans="2:5">
      <c r="B37" s="184" t="s">
        <v>167</v>
      </c>
      <c r="C37" s="269">
        <v>3456.1570499999998</v>
      </c>
      <c r="D37" s="130"/>
      <c r="E37" s="246">
        <v>3123.59</v>
      </c>
    </row>
    <row r="38" spans="2:5">
      <c r="B38" s="184" t="s">
        <v>168</v>
      </c>
      <c r="C38" s="269">
        <v>59.31</v>
      </c>
      <c r="D38" s="130"/>
      <c r="E38" s="246">
        <v>39.47</v>
      </c>
    </row>
    <row r="39" spans="2:5">
      <c r="B39" s="184" t="s">
        <v>674</v>
      </c>
      <c r="C39" s="269">
        <v>4145.57</v>
      </c>
      <c r="D39" s="130"/>
      <c r="E39" s="246">
        <v>3427.04</v>
      </c>
    </row>
    <row r="40" spans="2:5">
      <c r="B40" s="184" t="s">
        <v>169</v>
      </c>
      <c r="C40" s="269">
        <v>72.625199999999992</v>
      </c>
      <c r="D40" s="130"/>
      <c r="E40" s="246">
        <v>117</v>
      </c>
    </row>
    <row r="41" spans="2:5">
      <c r="B41" s="184" t="s">
        <v>731</v>
      </c>
      <c r="C41" s="269">
        <v>0</v>
      </c>
      <c r="D41" s="130"/>
      <c r="E41" s="246">
        <v>15</v>
      </c>
    </row>
    <row r="42" spans="2:5">
      <c r="B42" s="184" t="s">
        <v>732</v>
      </c>
      <c r="C42" s="269">
        <v>9</v>
      </c>
      <c r="D42" s="130"/>
      <c r="E42" s="246">
        <v>0</v>
      </c>
    </row>
    <row r="43" spans="2:5">
      <c r="B43" s="184" t="s">
        <v>170</v>
      </c>
      <c r="C43" s="269">
        <v>395.64249999999998</v>
      </c>
      <c r="D43" s="130"/>
      <c r="E43" s="246">
        <v>490.32144</v>
      </c>
    </row>
    <row r="44" spans="2:5">
      <c r="B44" s="116" t="s">
        <v>171</v>
      </c>
      <c r="C44" s="269">
        <v>420.4654900000001</v>
      </c>
      <c r="D44" s="130"/>
      <c r="E44" s="246">
        <v>452.03725000000003</v>
      </c>
    </row>
    <row r="45" spans="2:5">
      <c r="B45" s="116" t="s">
        <v>676</v>
      </c>
      <c r="C45" s="269">
        <v>738.46963000000005</v>
      </c>
      <c r="D45" s="130"/>
      <c r="E45" s="246">
        <v>1131.9017099999999</v>
      </c>
    </row>
    <row r="46" spans="2:5">
      <c r="B46" s="116" t="s">
        <v>172</v>
      </c>
      <c r="C46" s="269">
        <v>1810.1073799999999</v>
      </c>
      <c r="D46" s="130"/>
      <c r="E46" s="246">
        <v>1489.7214799999999</v>
      </c>
    </row>
    <row r="47" spans="2:5">
      <c r="B47" s="116" t="s">
        <v>677</v>
      </c>
      <c r="C47" s="269">
        <v>116.66858000000002</v>
      </c>
      <c r="D47" s="130"/>
      <c r="E47" s="246">
        <v>74.145829999999989</v>
      </c>
    </row>
    <row r="48" spans="2:5">
      <c r="B48" s="116" t="s">
        <v>678</v>
      </c>
      <c r="C48" s="269">
        <v>62.968480000000007</v>
      </c>
      <c r="D48" s="130"/>
      <c r="E48" s="246">
        <v>158.94869999999997</v>
      </c>
    </row>
    <row r="49" spans="2:7">
      <c r="B49" s="116" t="s">
        <v>814</v>
      </c>
      <c r="C49" s="269">
        <v>957.88995</v>
      </c>
      <c r="D49" s="130"/>
      <c r="E49" s="246">
        <v>1631.2213099999999</v>
      </c>
    </row>
    <row r="50" spans="2:7">
      <c r="B50" s="116" t="s">
        <v>679</v>
      </c>
      <c r="C50" s="269">
        <v>141.17999</v>
      </c>
      <c r="D50" s="130"/>
      <c r="E50" s="246">
        <v>178.21211</v>
      </c>
    </row>
    <row r="51" spans="2:7">
      <c r="B51" s="116" t="s">
        <v>680</v>
      </c>
      <c r="C51" s="269">
        <v>1823.9942700000001</v>
      </c>
      <c r="D51" s="130"/>
      <c r="E51" s="246">
        <v>2346.0171800000003</v>
      </c>
    </row>
    <row r="52" spans="2:7">
      <c r="B52" s="116" t="s">
        <v>730</v>
      </c>
      <c r="C52" s="269">
        <v>294.93879000000004</v>
      </c>
      <c r="D52" s="130"/>
      <c r="E52" s="246">
        <v>53.025260000000003</v>
      </c>
    </row>
    <row r="53" spans="2:7">
      <c r="B53" s="116" t="s">
        <v>173</v>
      </c>
      <c r="C53" s="269">
        <v>3215.25117</v>
      </c>
      <c r="D53" s="130"/>
      <c r="E53" s="246">
        <v>1625.7058999999999</v>
      </c>
    </row>
    <row r="54" spans="2:7" ht="7.5" customHeight="1">
      <c r="B54" s="116"/>
      <c r="C54" s="513"/>
      <c r="D54" s="130"/>
      <c r="E54" s="269"/>
    </row>
    <row r="55" spans="2:7" ht="15.75" thickBot="1">
      <c r="B55" s="13"/>
      <c r="C55" s="514">
        <f>SUM(C18:C54)</f>
        <v>272210.29638999997</v>
      </c>
      <c r="D55" s="130"/>
      <c r="E55" s="132">
        <f>SUM(E18:E54)</f>
        <v>265482.93415000004</v>
      </c>
    </row>
    <row r="56" spans="2:7" ht="10.5" customHeight="1" thickTop="1">
      <c r="B56" s="13"/>
      <c r="C56" s="560"/>
      <c r="D56" s="130"/>
      <c r="E56" s="222"/>
    </row>
    <row r="57" spans="2:7" ht="41.25" customHeight="1">
      <c r="B57" s="661" t="s">
        <v>815</v>
      </c>
      <c r="C57" s="661"/>
      <c r="D57" s="661"/>
      <c r="E57" s="661"/>
      <c r="F57" s="661"/>
      <c r="G57" s="661"/>
    </row>
  </sheetData>
  <mergeCells count="1">
    <mergeCell ref="B57:G57"/>
  </mergeCells>
  <pageMargins left="0.7" right="0.7" top="0.51041666666666663" bottom="0.75" header="0.3" footer="0.3"/>
  <pageSetup paperSize="9" scale="89" orientation="portrait" verticalDpi="200" r:id="rId1"/>
  <headerFooter scaleWithDoc="0">
    <oddHeader xml:space="preserve">&amp;COxford Health NHS Foundation Trust - Annual Accounts 2012/13
</oddHeader>
    <oddFooter>&amp;CPage 17</oddFooter>
  </headerFooter>
</worksheet>
</file>

<file path=xl/worksheets/sheet12.xml><?xml version="1.0" encoding="utf-8"?>
<worksheet xmlns="http://schemas.openxmlformats.org/spreadsheetml/2006/main" xmlns:r="http://schemas.openxmlformats.org/officeDocument/2006/relationships">
  <sheetPr codeName="Sheet13">
    <pageSetUpPr fitToPage="1"/>
  </sheetPr>
  <dimension ref="A1:H67"/>
  <sheetViews>
    <sheetView view="pageLayout" zoomScale="90" zoomScalePageLayoutView="90" workbookViewId="0">
      <selection activeCell="B46" sqref="B46"/>
    </sheetView>
  </sheetViews>
  <sheetFormatPr defaultRowHeight="15"/>
  <cols>
    <col min="1" max="1" width="4.85546875" style="196" customWidth="1"/>
    <col min="2" max="2" width="39.7109375" style="49" customWidth="1"/>
    <col min="3" max="3" width="11.140625" style="49" customWidth="1"/>
    <col min="4" max="4" width="14.140625" style="49" customWidth="1"/>
    <col min="5" max="5" width="12.28515625" style="49" customWidth="1"/>
    <col min="6" max="6" width="2.85546875" style="49" customWidth="1"/>
    <col min="7" max="7" width="11.140625" style="49" customWidth="1"/>
    <col min="8" max="8" width="5.5703125" style="49" customWidth="1"/>
    <col min="9" max="16384" width="9.140625" style="49"/>
  </cols>
  <sheetData>
    <row r="1" spans="1:8">
      <c r="A1" s="206"/>
      <c r="B1" s="50"/>
      <c r="C1" s="50"/>
      <c r="D1" s="50"/>
      <c r="E1" s="50"/>
      <c r="F1" s="50"/>
      <c r="G1" s="50"/>
      <c r="H1" s="50"/>
    </row>
    <row r="2" spans="1:8" s="207" customFormat="1" ht="15.75">
      <c r="A2" s="126">
        <v>8</v>
      </c>
      <c r="B2" s="14" t="s">
        <v>733</v>
      </c>
      <c r="C2" s="174"/>
      <c r="D2" s="174"/>
      <c r="E2" s="174"/>
      <c r="F2" s="174"/>
      <c r="G2" s="174"/>
    </row>
    <row r="3" spans="1:8">
      <c r="A3" s="20"/>
      <c r="B3" s="13"/>
      <c r="C3" s="13"/>
      <c r="D3" s="13"/>
      <c r="E3" s="13"/>
      <c r="F3" s="13"/>
      <c r="G3" s="13"/>
    </row>
    <row r="4" spans="1:8" s="127" customFormat="1">
      <c r="A4" s="29">
        <v>8.1</v>
      </c>
      <c r="B4" s="14" t="s">
        <v>626</v>
      </c>
      <c r="C4" s="14"/>
      <c r="D4" s="14"/>
      <c r="E4" s="14"/>
      <c r="F4" s="14"/>
      <c r="G4" s="14"/>
    </row>
    <row r="5" spans="1:8" s="127" customFormat="1">
      <c r="A5" s="29"/>
      <c r="B5" s="46" t="s">
        <v>186</v>
      </c>
      <c r="C5" s="14"/>
      <c r="D5" s="14"/>
      <c r="E5" s="14"/>
      <c r="F5" s="14"/>
      <c r="G5" s="14"/>
    </row>
    <row r="6" spans="1:8" s="189" customFormat="1">
      <c r="A6" s="20"/>
      <c r="C6" s="663" t="str">
        <f>This_year</f>
        <v>2012/13</v>
      </c>
      <c r="D6" s="663"/>
      <c r="E6" s="663"/>
      <c r="F6" s="208"/>
      <c r="G6" s="490" t="s">
        <v>470</v>
      </c>
      <c r="H6" s="209"/>
    </row>
    <row r="7" spans="1:8" s="213" customFormat="1" ht="30">
      <c r="A7" s="208"/>
      <c r="B7" s="208"/>
      <c r="C7" s="471" t="s">
        <v>53</v>
      </c>
      <c r="D7" s="210" t="s">
        <v>187</v>
      </c>
      <c r="E7" s="210" t="s">
        <v>173</v>
      </c>
      <c r="F7" s="210"/>
      <c r="G7" s="211" t="s">
        <v>53</v>
      </c>
      <c r="H7" s="212"/>
    </row>
    <row r="8" spans="1:8" s="189" customFormat="1">
      <c r="A8" s="20"/>
      <c r="B8" s="13"/>
      <c r="C8" s="472" t="s">
        <v>24</v>
      </c>
      <c r="D8" s="214" t="s">
        <v>24</v>
      </c>
      <c r="E8" s="214" t="s">
        <v>24</v>
      </c>
      <c r="F8" s="214"/>
      <c r="G8" s="215" t="s">
        <v>24</v>
      </c>
      <c r="H8" s="209"/>
    </row>
    <row r="9" spans="1:8" s="189" customFormat="1">
      <c r="A9" s="20"/>
      <c r="B9" s="216" t="s">
        <v>188</v>
      </c>
      <c r="C9" s="235">
        <f>SUM(D9:E9)</f>
        <v>156153</v>
      </c>
      <c r="D9" s="384">
        <v>153869</v>
      </c>
      <c r="E9" s="384">
        <v>2284</v>
      </c>
      <c r="F9" s="130"/>
      <c r="G9" s="221">
        <f>147608-53</f>
        <v>147555</v>
      </c>
      <c r="H9" s="209"/>
    </row>
    <row r="10" spans="1:8" s="189" customFormat="1">
      <c r="A10" s="20"/>
      <c r="B10" s="216" t="s">
        <v>189</v>
      </c>
      <c r="C10" s="236">
        <f t="shared" ref="C10:C12" si="0">SUM(D10:E10)</f>
        <v>11971.816565000001</v>
      </c>
      <c r="D10" s="269">
        <v>11971.816565000001</v>
      </c>
      <c r="E10" s="269"/>
      <c r="F10" s="130"/>
      <c r="G10" s="222">
        <v>11512</v>
      </c>
      <c r="H10" s="209"/>
    </row>
    <row r="11" spans="1:8" s="189" customFormat="1">
      <c r="A11" s="20"/>
      <c r="B11" s="216" t="s">
        <v>734</v>
      </c>
      <c r="C11" s="236">
        <f t="shared" si="0"/>
        <v>18526.257935000001</v>
      </c>
      <c r="D11" s="269">
        <v>18526.257935000001</v>
      </c>
      <c r="E11" s="269"/>
      <c r="F11" s="130"/>
      <c r="G11" s="222">
        <v>17834</v>
      </c>
      <c r="H11" s="209"/>
    </row>
    <row r="12" spans="1:8" s="189" customFormat="1">
      <c r="A12" s="20"/>
      <c r="B12" s="216" t="s">
        <v>190</v>
      </c>
      <c r="C12" s="236">
        <f t="shared" si="0"/>
        <v>71</v>
      </c>
      <c r="D12" s="269">
        <v>71</v>
      </c>
      <c r="E12" s="269"/>
      <c r="F12" s="130"/>
      <c r="G12" s="222">
        <v>53</v>
      </c>
      <c r="H12" s="209"/>
    </row>
    <row r="13" spans="1:8" s="189" customFormat="1">
      <c r="A13" s="20"/>
      <c r="B13" s="217" t="s">
        <v>191</v>
      </c>
      <c r="C13" s="236">
        <f>SUM(D13:E13)</f>
        <v>1085.3900000000001</v>
      </c>
      <c r="D13" s="269">
        <f>1182.89-102.5+5</f>
        <v>1085.3900000000001</v>
      </c>
      <c r="E13" s="269"/>
      <c r="F13" s="130"/>
      <c r="G13" s="222">
        <v>1631</v>
      </c>
      <c r="H13" s="209"/>
    </row>
    <row r="14" spans="1:8" s="189" customFormat="1">
      <c r="A14" s="20"/>
      <c r="B14" s="217" t="s">
        <v>532</v>
      </c>
      <c r="C14" s="236">
        <f>SUM(D14:E14)</f>
        <v>5157.5879999999997</v>
      </c>
      <c r="D14" s="269"/>
      <c r="E14" s="269">
        <v>5157.5879999999997</v>
      </c>
      <c r="F14" s="130"/>
      <c r="G14" s="222">
        <v>6852</v>
      </c>
      <c r="H14" s="209"/>
    </row>
    <row r="15" spans="1:8" s="189" customFormat="1">
      <c r="A15" s="20"/>
      <c r="B15" s="217" t="s">
        <v>531</v>
      </c>
      <c r="C15" s="236">
        <f>SUM(D15:E15)</f>
        <v>-85.185180000000003</v>
      </c>
      <c r="D15" s="269">
        <v>-85.185180000000003</v>
      </c>
      <c r="E15" s="269"/>
      <c r="F15" s="130"/>
      <c r="G15" s="222">
        <v>-79</v>
      </c>
      <c r="H15" s="209"/>
    </row>
    <row r="16" spans="1:8" s="189" customFormat="1" ht="15.75" thickBot="1">
      <c r="A16" s="20"/>
      <c r="B16" s="46"/>
      <c r="C16" s="131">
        <f>SUM(C9:C15)</f>
        <v>192879.86731999999</v>
      </c>
      <c r="D16" s="131">
        <f>SUM(D9:D15)</f>
        <v>185438.27932</v>
      </c>
      <c r="E16" s="131">
        <f>SUM(E9:E15)</f>
        <v>7441.5879999999997</v>
      </c>
      <c r="F16" s="130"/>
      <c r="G16" s="132">
        <f>SUM(G9:G15)</f>
        <v>185358</v>
      </c>
      <c r="H16" s="209"/>
    </row>
    <row r="17" spans="1:8" s="189" customFormat="1" ht="15.75" thickTop="1">
      <c r="A17" s="20"/>
      <c r="B17" s="484"/>
      <c r="C17" s="236"/>
      <c r="D17" s="236"/>
      <c r="E17" s="236"/>
      <c r="F17" s="130"/>
      <c r="G17" s="236"/>
      <c r="H17" s="209"/>
    </row>
    <row r="18" spans="1:8" ht="21" customHeight="1">
      <c r="A18" s="20"/>
      <c r="B18" s="13"/>
      <c r="C18" s="13"/>
      <c r="D18" s="13"/>
      <c r="E18" s="13"/>
      <c r="F18" s="13"/>
      <c r="G18" s="13"/>
      <c r="H18" s="62"/>
    </row>
    <row r="19" spans="1:8" s="127" customFormat="1">
      <c r="A19" s="29">
        <v>8.1999999999999993</v>
      </c>
      <c r="B19" s="218" t="s">
        <v>193</v>
      </c>
      <c r="C19" s="14"/>
      <c r="D19" s="14"/>
      <c r="E19" s="14"/>
      <c r="F19" s="14"/>
      <c r="G19" s="14"/>
      <c r="H19" s="219"/>
    </row>
    <row r="20" spans="1:8" s="127" customFormat="1">
      <c r="A20" s="29"/>
      <c r="B20" s="46" t="s">
        <v>186</v>
      </c>
      <c r="C20" s="14"/>
      <c r="D20" s="14"/>
      <c r="E20" s="14"/>
      <c r="F20" s="14"/>
      <c r="G20" s="14"/>
      <c r="H20" s="219"/>
    </row>
    <row r="21" spans="1:8" s="189" customFormat="1">
      <c r="A21" s="20"/>
      <c r="C21" s="663" t="str">
        <f>This_year</f>
        <v>2012/13</v>
      </c>
      <c r="D21" s="663"/>
      <c r="E21" s="663"/>
      <c r="F21" s="208"/>
      <c r="G21" s="490" t="s">
        <v>470</v>
      </c>
      <c r="H21" s="209"/>
    </row>
    <row r="22" spans="1:8" s="213" customFormat="1" ht="30">
      <c r="A22" s="208"/>
      <c r="B22" s="208"/>
      <c r="C22" s="471" t="s">
        <v>53</v>
      </c>
      <c r="D22" s="210" t="s">
        <v>735</v>
      </c>
      <c r="E22" s="210" t="s">
        <v>173</v>
      </c>
      <c r="F22" s="210"/>
      <c r="G22" s="211" t="s">
        <v>53</v>
      </c>
      <c r="H22" s="212"/>
    </row>
    <row r="23" spans="1:8" s="189" customFormat="1">
      <c r="A23" s="20"/>
      <c r="B23" s="13"/>
      <c r="C23" s="472" t="s">
        <v>194</v>
      </c>
      <c r="D23" s="214" t="s">
        <v>194</v>
      </c>
      <c r="E23" s="214" t="s">
        <v>194</v>
      </c>
      <c r="F23" s="214"/>
      <c r="G23" s="215" t="s">
        <v>194</v>
      </c>
      <c r="H23" s="209"/>
    </row>
    <row r="24" spans="1:8" s="189" customFormat="1">
      <c r="A24" s="20"/>
      <c r="B24" s="220" t="s">
        <v>195</v>
      </c>
      <c r="C24" s="235">
        <f>SUM(D24:E24)</f>
        <v>224</v>
      </c>
      <c r="D24" s="235">
        <v>224</v>
      </c>
      <c r="E24" s="384"/>
      <c r="F24" s="130"/>
      <c r="G24" s="221">
        <v>198</v>
      </c>
      <c r="H24" s="209"/>
    </row>
    <row r="25" spans="1:8" s="189" customFormat="1">
      <c r="A25" s="20"/>
      <c r="B25" s="220" t="s">
        <v>196</v>
      </c>
      <c r="C25" s="236">
        <f>SUM(D25:E25)</f>
        <v>965.22845613439813</v>
      </c>
      <c r="D25" s="236">
        <v>965.22845613439813</v>
      </c>
      <c r="E25" s="269"/>
      <c r="F25" s="130"/>
      <c r="G25" s="222">
        <v>934</v>
      </c>
      <c r="H25" s="209"/>
    </row>
    <row r="26" spans="1:8" s="189" customFormat="1">
      <c r="A26" s="20"/>
      <c r="B26" s="220" t="s">
        <v>197</v>
      </c>
      <c r="C26" s="236">
        <f t="shared" ref="C26:C28" si="1">SUM(D26:E26)</f>
        <v>1005.3897348499999</v>
      </c>
      <c r="D26" s="236">
        <v>1005.3897348499999</v>
      </c>
      <c r="E26" s="269"/>
      <c r="F26" s="130"/>
      <c r="G26" s="222">
        <v>972</v>
      </c>
      <c r="H26" s="209"/>
    </row>
    <row r="27" spans="1:8" s="189" customFormat="1">
      <c r="A27" s="20"/>
      <c r="B27" s="220" t="s">
        <v>198</v>
      </c>
      <c r="C27" s="236">
        <f t="shared" si="1"/>
        <v>1553.6058102300917</v>
      </c>
      <c r="D27" s="236">
        <v>1553.6058102300917</v>
      </c>
      <c r="E27" s="269"/>
      <c r="F27" s="130"/>
      <c r="G27" s="222">
        <v>1412</v>
      </c>
      <c r="H27" s="209"/>
    </row>
    <row r="28" spans="1:8" s="189" customFormat="1">
      <c r="A28" s="20"/>
      <c r="B28" s="220" t="s">
        <v>702</v>
      </c>
      <c r="C28" s="236">
        <f t="shared" si="1"/>
        <v>79.02</v>
      </c>
      <c r="D28" s="236">
        <v>79.02</v>
      </c>
      <c r="E28" s="269"/>
      <c r="F28" s="130"/>
      <c r="G28" s="222">
        <v>0</v>
      </c>
      <c r="H28" s="209"/>
    </row>
    <row r="29" spans="1:8" s="189" customFormat="1">
      <c r="A29" s="20"/>
      <c r="B29" s="220" t="s">
        <v>199</v>
      </c>
      <c r="C29" s="236">
        <f t="shared" ref="C29:C31" si="2">SUM(D29:E29)</f>
        <v>871.79322519094501</v>
      </c>
      <c r="D29" s="236">
        <v>871.79322519094501</v>
      </c>
      <c r="E29" s="43"/>
      <c r="F29" s="44"/>
      <c r="G29" s="222">
        <v>786</v>
      </c>
      <c r="H29" s="209"/>
    </row>
    <row r="30" spans="1:8" s="189" customFormat="1">
      <c r="A30" s="20"/>
      <c r="B30" s="220" t="s">
        <v>519</v>
      </c>
      <c r="C30" s="236">
        <f t="shared" si="2"/>
        <v>10.584360324743898</v>
      </c>
      <c r="D30" s="236">
        <v>10.584360324743898</v>
      </c>
      <c r="E30" s="43"/>
      <c r="F30" s="44"/>
      <c r="G30" s="222">
        <v>72</v>
      </c>
      <c r="H30" s="209"/>
    </row>
    <row r="31" spans="1:8" s="189" customFormat="1">
      <c r="A31" s="20"/>
      <c r="B31" s="220" t="s">
        <v>192</v>
      </c>
      <c r="C31" s="236">
        <f t="shared" si="2"/>
        <v>114</v>
      </c>
      <c r="E31" s="236">
        <v>114</v>
      </c>
      <c r="F31" s="44"/>
      <c r="G31" s="222">
        <v>132</v>
      </c>
      <c r="H31" s="209"/>
    </row>
    <row r="32" spans="1:8" s="189" customFormat="1" ht="15.75" thickBot="1">
      <c r="A32" s="20"/>
      <c r="B32" s="46"/>
      <c r="C32" s="131">
        <f>SUM(C24:C31)</f>
        <v>4823.6215867301789</v>
      </c>
      <c r="D32" s="131">
        <f>SUM(D24:D31)</f>
        <v>4709.6215867301789</v>
      </c>
      <c r="E32" s="131">
        <f>SUM(E24:E31)</f>
        <v>114</v>
      </c>
      <c r="F32" s="130"/>
      <c r="G32" s="132">
        <f>SUM(G24:G31)</f>
        <v>4506</v>
      </c>
      <c r="H32" s="209"/>
    </row>
    <row r="33" spans="1:8" s="189" customFormat="1" ht="15.75" thickTop="1">
      <c r="A33" s="20"/>
      <c r="B33" s="46" t="s">
        <v>200</v>
      </c>
      <c r="C33" s="13"/>
      <c r="D33" s="13"/>
      <c r="E33" s="13"/>
      <c r="F33" s="13"/>
      <c r="G33" s="13"/>
      <c r="H33" s="209"/>
    </row>
    <row r="34" spans="1:8" ht="25.5" customHeight="1">
      <c r="A34" s="20"/>
      <c r="B34" s="13"/>
      <c r="C34" s="13"/>
      <c r="D34" s="13"/>
      <c r="E34" s="13"/>
      <c r="F34" s="13"/>
      <c r="G34" s="13"/>
    </row>
    <row r="35" spans="1:8">
      <c r="A35" s="29">
        <v>8.3000000000000007</v>
      </c>
      <c r="B35" s="14" t="s">
        <v>736</v>
      </c>
      <c r="C35" s="14"/>
      <c r="D35" s="14"/>
      <c r="E35" s="14"/>
      <c r="F35" s="14"/>
      <c r="G35" s="14"/>
      <c r="H35" s="14"/>
    </row>
    <row r="36" spans="1:8">
      <c r="A36" s="20"/>
      <c r="B36" s="13"/>
      <c r="C36" s="13"/>
      <c r="D36" s="13"/>
      <c r="E36" s="120" t="str">
        <f>This_year</f>
        <v>2012/13</v>
      </c>
      <c r="G36" s="121" t="str">
        <f>Last_year</f>
        <v>2011/12</v>
      </c>
    </row>
    <row r="37" spans="1:8">
      <c r="A37" s="20"/>
      <c r="B37" s="13"/>
      <c r="C37" s="13"/>
      <c r="D37" s="13"/>
      <c r="E37" s="214" t="s">
        <v>24</v>
      </c>
      <c r="G37" s="215" t="s">
        <v>24</v>
      </c>
    </row>
    <row r="38" spans="1:8">
      <c r="A38" s="224"/>
      <c r="B38" s="224" t="s">
        <v>201</v>
      </c>
      <c r="C38" s="224"/>
      <c r="D38" s="484"/>
      <c r="E38" s="239">
        <f>960+102.5</f>
        <v>1062.5</v>
      </c>
      <c r="G38" s="225">
        <v>994</v>
      </c>
    </row>
    <row r="39" spans="1:8">
      <c r="A39" s="224"/>
      <c r="B39" s="664" t="s">
        <v>497</v>
      </c>
      <c r="C39" s="664"/>
      <c r="D39" s="664"/>
      <c r="E39" s="239">
        <v>110</v>
      </c>
      <c r="G39" s="225">
        <v>112</v>
      </c>
    </row>
    <row r="40" spans="1:8" ht="15.75" thickBot="1">
      <c r="A40" s="224"/>
      <c r="B40" s="484"/>
      <c r="C40" s="484"/>
      <c r="D40" s="484"/>
      <c r="E40" s="226">
        <f>SUM(E38:E39)</f>
        <v>1172.5</v>
      </c>
      <c r="G40" s="227">
        <f>SUM(G38:G39)</f>
        <v>1106</v>
      </c>
    </row>
    <row r="41" spans="1:8" ht="18" customHeight="1" thickTop="1">
      <c r="A41" s="224"/>
      <c r="B41" s="665" t="s">
        <v>807</v>
      </c>
      <c r="C41" s="665"/>
      <c r="D41" s="665"/>
      <c r="E41" s="665"/>
      <c r="F41" s="665"/>
      <c r="G41" s="665"/>
      <c r="H41" s="665"/>
    </row>
    <row r="42" spans="1:8" ht="66.75" customHeight="1">
      <c r="A42" s="224"/>
      <c r="B42" s="483"/>
      <c r="C42" s="483"/>
      <c r="D42" s="483"/>
      <c r="E42" s="483"/>
      <c r="F42" s="483"/>
      <c r="G42" s="483"/>
      <c r="H42" s="483"/>
    </row>
    <row r="43" spans="1:8" ht="132.75" customHeight="1">
      <c r="A43" s="224"/>
      <c r="B43" s="483"/>
      <c r="C43" s="483"/>
      <c r="D43" s="483"/>
      <c r="E43" s="483"/>
      <c r="F43" s="483"/>
      <c r="G43" s="483"/>
      <c r="H43" s="483"/>
    </row>
    <row r="44" spans="1:8" s="50" customFormat="1">
      <c r="A44" s="58"/>
      <c r="B44" s="19"/>
      <c r="C44" s="19"/>
      <c r="D44" s="19"/>
      <c r="E44" s="19"/>
      <c r="F44" s="19"/>
      <c r="G44" s="19"/>
    </row>
    <row r="45" spans="1:8">
      <c r="A45" s="29">
        <v>8.4</v>
      </c>
      <c r="B45" s="14" t="s">
        <v>737</v>
      </c>
      <c r="C45" s="13"/>
      <c r="D45" s="13"/>
      <c r="E45" s="13"/>
      <c r="F45" s="228"/>
      <c r="G45" s="229"/>
      <c r="H45" s="230"/>
    </row>
    <row r="46" spans="1:8">
      <c r="A46" s="20"/>
      <c r="B46" s="13"/>
      <c r="C46" s="473" t="str">
        <f>This_year</f>
        <v>2012/13</v>
      </c>
      <c r="D46" s="120" t="str">
        <f>This_year</f>
        <v>2012/13</v>
      </c>
      <c r="E46" s="120" t="str">
        <f>This_year</f>
        <v>2012/13</v>
      </c>
      <c r="G46" s="121" t="str">
        <f>Last_year</f>
        <v>2011/12</v>
      </c>
    </row>
    <row r="47" spans="1:8" ht="60">
      <c r="A47" s="20"/>
      <c r="B47" s="123" t="s">
        <v>738</v>
      </c>
      <c r="C47" s="594" t="s">
        <v>741</v>
      </c>
      <c r="D47" s="595" t="s">
        <v>742</v>
      </c>
      <c r="E47" s="595" t="s">
        <v>743</v>
      </c>
      <c r="F47" s="596"/>
      <c r="G47" s="597" t="s">
        <v>741</v>
      </c>
    </row>
    <row r="48" spans="1:8">
      <c r="A48" s="20"/>
      <c r="B48" s="367" t="s">
        <v>520</v>
      </c>
      <c r="C48" s="127">
        <f>SUM(D48:E48)</f>
        <v>25</v>
      </c>
      <c r="D48" s="561">
        <v>0</v>
      </c>
      <c r="E48" s="561">
        <v>25</v>
      </c>
      <c r="G48" s="343">
        <v>1</v>
      </c>
    </row>
    <row r="49" spans="1:8">
      <c r="A49" s="224"/>
      <c r="B49" s="484" t="s">
        <v>433</v>
      </c>
      <c r="C49" s="127">
        <f t="shared" ref="C49:C53" si="3">SUM(D49:E49)</f>
        <v>31</v>
      </c>
      <c r="D49" s="240">
        <v>0</v>
      </c>
      <c r="E49" s="240">
        <v>31</v>
      </c>
      <c r="G49" s="343">
        <f t="shared" ref="G49:G50" si="4">I49+H49</f>
        <v>0</v>
      </c>
    </row>
    <row r="50" spans="1:8">
      <c r="A50" s="224"/>
      <c r="B50" s="484" t="s">
        <v>441</v>
      </c>
      <c r="C50" s="127">
        <f t="shared" si="3"/>
        <v>13</v>
      </c>
      <c r="D50" s="240">
        <v>0</v>
      </c>
      <c r="E50" s="240">
        <v>13</v>
      </c>
      <c r="G50" s="343">
        <f t="shared" si="4"/>
        <v>0</v>
      </c>
    </row>
    <row r="51" spans="1:8">
      <c r="A51" s="224"/>
      <c r="B51" s="484" t="s">
        <v>442</v>
      </c>
      <c r="C51" s="127">
        <f t="shared" si="3"/>
        <v>3</v>
      </c>
      <c r="D51" s="240">
        <v>0</v>
      </c>
      <c r="E51" s="240">
        <v>3</v>
      </c>
      <c r="G51" s="343">
        <v>1</v>
      </c>
    </row>
    <row r="52" spans="1:8">
      <c r="A52" s="224"/>
      <c r="B52" s="484" t="s">
        <v>443</v>
      </c>
      <c r="C52" s="127">
        <f t="shared" si="3"/>
        <v>1</v>
      </c>
      <c r="D52" s="240">
        <v>0</v>
      </c>
      <c r="E52" s="240">
        <v>1</v>
      </c>
      <c r="G52" s="343">
        <v>2</v>
      </c>
    </row>
    <row r="53" spans="1:8">
      <c r="A53" s="224"/>
      <c r="B53" s="484" t="s">
        <v>434</v>
      </c>
      <c r="C53" s="127">
        <f t="shared" si="3"/>
        <v>0</v>
      </c>
      <c r="D53" s="240">
        <v>0</v>
      </c>
      <c r="E53" s="240">
        <v>0</v>
      </c>
      <c r="G53" s="343">
        <v>1</v>
      </c>
    </row>
    <row r="54" spans="1:8" ht="15.75" thickBot="1">
      <c r="A54" s="224"/>
      <c r="B54" s="367" t="s">
        <v>739</v>
      </c>
      <c r="C54" s="315">
        <f>SUM(C48:C53)</f>
        <v>73</v>
      </c>
      <c r="D54" s="315">
        <f>SUM(D48:D53)</f>
        <v>0</v>
      </c>
      <c r="E54" s="315">
        <f>SUM(E48:E53)</f>
        <v>73</v>
      </c>
      <c r="G54" s="227">
        <v>5</v>
      </c>
    </row>
    <row r="55" spans="1:8" ht="16.5" thickTop="1" thickBot="1">
      <c r="A55" s="224"/>
      <c r="B55" s="484" t="s">
        <v>740</v>
      </c>
      <c r="C55" s="474">
        <f>SUM(D55:E55)</f>
        <v>1390</v>
      </c>
      <c r="D55" s="474">
        <v>0</v>
      </c>
      <c r="E55" s="474">
        <v>1390</v>
      </c>
      <c r="G55" s="227">
        <v>523</v>
      </c>
    </row>
    <row r="56" spans="1:8" ht="15.75" thickTop="1">
      <c r="A56" s="20"/>
      <c r="B56" s="13"/>
      <c r="C56" s="13"/>
      <c r="D56" s="13"/>
      <c r="E56" s="13"/>
      <c r="F56" s="13"/>
      <c r="G56" s="13"/>
    </row>
    <row r="57" spans="1:8" ht="54.75" customHeight="1">
      <c r="A57" s="20"/>
      <c r="B57" s="666" t="s">
        <v>839</v>
      </c>
      <c r="C57" s="666"/>
      <c r="D57" s="666"/>
      <c r="E57" s="666"/>
      <c r="F57" s="666"/>
      <c r="G57" s="666"/>
      <c r="H57" s="666"/>
    </row>
    <row r="58" spans="1:8" ht="8.25" customHeight="1">
      <c r="A58" s="20"/>
      <c r="B58" s="385"/>
      <c r="C58" s="385"/>
      <c r="D58" s="385"/>
      <c r="E58" s="385"/>
      <c r="F58" s="385"/>
      <c r="G58" s="385"/>
      <c r="H58" s="383"/>
    </row>
    <row r="59" spans="1:8" ht="29.25" customHeight="1">
      <c r="A59" s="20"/>
      <c r="B59" s="667" t="s">
        <v>625</v>
      </c>
      <c r="C59" s="667"/>
      <c r="D59" s="667"/>
      <c r="E59" s="667"/>
      <c r="F59" s="667"/>
      <c r="G59" s="667"/>
      <c r="H59" s="667"/>
    </row>
    <row r="60" spans="1:8">
      <c r="A60" s="20"/>
      <c r="B60" s="13"/>
      <c r="C60" s="13"/>
      <c r="D60" s="13"/>
      <c r="E60" s="13"/>
      <c r="F60" s="13"/>
      <c r="G60" s="13"/>
    </row>
    <row r="61" spans="1:8" ht="15.75">
      <c r="A61" s="126">
        <v>9</v>
      </c>
      <c r="B61" s="174" t="s">
        <v>744</v>
      </c>
      <c r="C61" s="13"/>
      <c r="D61" s="13"/>
      <c r="E61" s="13"/>
      <c r="F61" s="13"/>
      <c r="G61" s="13"/>
    </row>
    <row r="62" spans="1:8">
      <c r="A62" s="20"/>
      <c r="B62" s="13"/>
      <c r="C62" s="13"/>
      <c r="D62" s="13"/>
      <c r="E62" s="13"/>
      <c r="F62" s="13"/>
      <c r="G62" s="13"/>
    </row>
    <row r="63" spans="1:8">
      <c r="A63" s="20"/>
      <c r="B63" s="501" t="s">
        <v>650</v>
      </c>
      <c r="C63" s="13"/>
      <c r="D63" s="13"/>
      <c r="E63" s="13"/>
      <c r="F63" s="13"/>
      <c r="G63" s="13"/>
    </row>
    <row r="65" spans="1:8" ht="15.75">
      <c r="A65" s="126">
        <v>10</v>
      </c>
      <c r="B65" s="174" t="s">
        <v>402</v>
      </c>
    </row>
    <row r="67" spans="1:8" ht="49.5" customHeight="1">
      <c r="B67" s="662" t="s">
        <v>690</v>
      </c>
      <c r="C67" s="662"/>
      <c r="D67" s="662"/>
      <c r="E67" s="662"/>
      <c r="F67" s="662"/>
      <c r="G67" s="662"/>
      <c r="H67" s="662"/>
    </row>
  </sheetData>
  <mergeCells count="7">
    <mergeCell ref="B67:H67"/>
    <mergeCell ref="C6:E6"/>
    <mergeCell ref="C21:E21"/>
    <mergeCell ref="B39:D39"/>
    <mergeCell ref="B41:H41"/>
    <mergeCell ref="B57:H57"/>
    <mergeCell ref="B59:H59"/>
  </mergeCells>
  <pageMargins left="0.70866141732283472" right="0.47244094488188981" top="0.55118110236220474" bottom="0.74803149606299213" header="0.31496062992125984" footer="0.31496062992125984"/>
  <pageSetup paperSize="9" scale="88" fitToHeight="2" orientation="portrait" verticalDpi="200" r:id="rId1"/>
  <headerFooter differentOddEven="1" scaleWithDoc="0">
    <oddHeader>&amp;COxford Health NHS Foundation Trust - Annual Accounts 2012/13</oddHeader>
    <oddFooter>&amp;CPage 19</oddFooter>
    <evenHeader>&amp;COxford Health NHS Foundation Trust - Annual Accounts 2012/13</evenHeader>
    <evenFooter>&amp;CPage 18</evenFooter>
  </headerFooter>
</worksheet>
</file>

<file path=xl/worksheets/sheet13.xml><?xml version="1.0" encoding="utf-8"?>
<worksheet xmlns="http://schemas.openxmlformats.org/spreadsheetml/2006/main" xmlns:r="http://schemas.openxmlformats.org/officeDocument/2006/relationships">
  <sheetPr codeName="Sheet14"/>
  <dimension ref="A1:C90"/>
  <sheetViews>
    <sheetView view="pageLayout" topLeftCell="A19" zoomScale="80" zoomScaleNormal="100" zoomScalePageLayoutView="80" workbookViewId="0">
      <selection activeCell="B46" sqref="B46"/>
    </sheetView>
  </sheetViews>
  <sheetFormatPr defaultRowHeight="14.25"/>
  <cols>
    <col min="1" max="1" width="5.5703125" style="20" customWidth="1"/>
    <col min="2" max="2" width="86.5703125" style="13" customWidth="1"/>
    <col min="3" max="3" width="83.140625" style="13" customWidth="1"/>
    <col min="4" max="16384" width="9.140625" style="13"/>
  </cols>
  <sheetData>
    <row r="1" spans="1:2">
      <c r="A1" s="58"/>
      <c r="B1" s="19"/>
    </row>
    <row r="2" spans="1:2" ht="15.75">
      <c r="A2" s="360">
        <v>11</v>
      </c>
      <c r="B2" s="180" t="s">
        <v>400</v>
      </c>
    </row>
    <row r="3" spans="1:2" ht="15">
      <c r="A3" s="337">
        <v>11.1</v>
      </c>
      <c r="B3" s="479" t="s">
        <v>85</v>
      </c>
    </row>
    <row r="4" spans="1:2" ht="125.25" customHeight="1">
      <c r="B4" s="624" t="s">
        <v>498</v>
      </c>
    </row>
    <row r="5" spans="1:2" ht="3.75" customHeight="1">
      <c r="B5" s="624"/>
    </row>
    <row r="6" spans="1:2" s="343" customFormat="1" ht="59.25" customHeight="1">
      <c r="A6" s="335"/>
      <c r="B6" s="624" t="s">
        <v>621</v>
      </c>
    </row>
    <row r="7" spans="1:2" s="299" customFormat="1" ht="15" customHeight="1">
      <c r="A7" s="29"/>
      <c r="B7" s="624" t="s">
        <v>840</v>
      </c>
    </row>
    <row r="8" spans="1:2" s="299" customFormat="1" ht="41.25" customHeight="1">
      <c r="A8" s="20"/>
      <c r="B8" s="624" t="s">
        <v>841</v>
      </c>
    </row>
    <row r="9" spans="1:2" s="299" customFormat="1" ht="0.75" customHeight="1">
      <c r="A9" s="20"/>
      <c r="B9" s="624"/>
    </row>
    <row r="10" spans="1:2" s="299" customFormat="1" ht="51">
      <c r="A10" s="20"/>
      <c r="B10" s="624" t="s">
        <v>623</v>
      </c>
    </row>
    <row r="11" spans="1:2" ht="10.5" customHeight="1">
      <c r="B11" s="624"/>
    </row>
    <row r="12" spans="1:2">
      <c r="B12" s="624" t="s">
        <v>842</v>
      </c>
    </row>
    <row r="13" spans="1:2" s="115" customFormat="1" ht="38.25">
      <c r="A13" s="20"/>
      <c r="B13" s="624" t="s">
        <v>622</v>
      </c>
    </row>
    <row r="14" spans="1:2" s="115" customFormat="1" ht="9" hidden="1" customHeight="1">
      <c r="A14" s="20"/>
      <c r="B14" s="624"/>
    </row>
    <row r="15" spans="1:2" ht="78">
      <c r="B15" s="624" t="s">
        <v>846</v>
      </c>
    </row>
    <row r="16" spans="1:2" ht="38.25">
      <c r="B16" s="624" t="s">
        <v>843</v>
      </c>
    </row>
    <row r="17" spans="1:3" ht="25.5">
      <c r="B17" s="624" t="s">
        <v>844</v>
      </c>
    </row>
    <row r="18" spans="1:3" s="478" customFormat="1" ht="9.75" customHeight="1">
      <c r="A18" s="20"/>
      <c r="B18" s="624"/>
    </row>
    <row r="19" spans="1:3" ht="12.75" customHeight="1">
      <c r="B19" s="624" t="s">
        <v>499</v>
      </c>
    </row>
    <row r="20" spans="1:3" ht="38.25">
      <c r="B20" s="624" t="s">
        <v>500</v>
      </c>
    </row>
    <row r="21" spans="1:3" s="182" customFormat="1" ht="63.75">
      <c r="A21" s="335"/>
      <c r="B21" s="624" t="s">
        <v>501</v>
      </c>
    </row>
    <row r="22" spans="1:3" s="14" customFormat="1" ht="84" customHeight="1">
      <c r="A22" s="20"/>
      <c r="B22" s="624" t="s">
        <v>502</v>
      </c>
    </row>
    <row r="23" spans="1:3" s="14" customFormat="1" ht="19.5" customHeight="1">
      <c r="A23" s="610"/>
      <c r="B23" s="627"/>
    </row>
    <row r="24" spans="1:3" ht="51">
      <c r="B24" s="624" t="s">
        <v>697</v>
      </c>
    </row>
    <row r="25" spans="1:3" ht="42" customHeight="1">
      <c r="A25" s="335"/>
      <c r="B25" s="624" t="s">
        <v>845</v>
      </c>
    </row>
    <row r="26" spans="1:3" s="19" customFormat="1" ht="25.5">
      <c r="A26" s="335"/>
      <c r="B26" s="624" t="s">
        <v>624</v>
      </c>
      <c r="C26" s="182"/>
    </row>
    <row r="27" spans="1:3" s="182" customFormat="1" ht="10.5" customHeight="1">
      <c r="A27" s="335"/>
      <c r="B27" s="624"/>
    </row>
    <row r="28" spans="1:3" ht="50.25" customHeight="1">
      <c r="A28" s="335"/>
      <c r="B28" s="624" t="s">
        <v>503</v>
      </c>
    </row>
    <row r="29" spans="1:3" s="182" customFormat="1" ht="0.75" customHeight="1">
      <c r="A29" s="335"/>
      <c r="B29" s="624"/>
    </row>
    <row r="30" spans="1:3" ht="10.5" customHeight="1">
      <c r="B30" s="482"/>
    </row>
    <row r="31" spans="1:3" ht="15">
      <c r="A31" s="29">
        <v>11.2</v>
      </c>
      <c r="B31" s="386" t="s">
        <v>746</v>
      </c>
    </row>
    <row r="32" spans="1:3" ht="13.5" customHeight="1">
      <c r="A32" s="29"/>
      <c r="B32" s="387" t="s">
        <v>747</v>
      </c>
    </row>
    <row r="33" spans="1:2" ht="37.5" customHeight="1">
      <c r="B33" s="614" t="s">
        <v>745</v>
      </c>
    </row>
    <row r="34" spans="1:2" ht="10.5" customHeight="1">
      <c r="B34" s="616"/>
    </row>
    <row r="35" spans="1:2" ht="15.75" customHeight="1">
      <c r="B35" s="616" t="s">
        <v>533</v>
      </c>
    </row>
    <row r="36" spans="1:2" ht="10.5" customHeight="1">
      <c r="B36" s="616"/>
    </row>
    <row r="37" spans="1:2" ht="24" customHeight="1">
      <c r="A37" s="232"/>
      <c r="B37" s="616" t="s">
        <v>534</v>
      </c>
    </row>
    <row r="38" spans="1:2" ht="9.75" customHeight="1">
      <c r="A38" s="232"/>
      <c r="B38" s="616"/>
    </row>
    <row r="39" spans="1:2" ht="24.75" customHeight="1">
      <c r="B39" s="614" t="s">
        <v>687</v>
      </c>
    </row>
    <row r="40" spans="1:2" ht="4.5" customHeight="1">
      <c r="B40" s="616"/>
    </row>
    <row r="41" spans="1:2" ht="40.5" customHeight="1">
      <c r="B41" s="616" t="s">
        <v>868</v>
      </c>
    </row>
    <row r="42" spans="1:2" ht="10.5" customHeight="1">
      <c r="B42" s="616"/>
    </row>
    <row r="43" spans="1:2" s="182" customFormat="1" ht="78.75" customHeight="1">
      <c r="A43" s="335"/>
      <c r="B43" s="361" t="s">
        <v>536</v>
      </c>
    </row>
    <row r="44" spans="1:2">
      <c r="A44" s="232"/>
      <c r="B44" s="234"/>
    </row>
    <row r="45" spans="1:2" ht="24.75" customHeight="1">
      <c r="B45" s="613" t="s">
        <v>619</v>
      </c>
    </row>
    <row r="46" spans="1:2" ht="12.75" customHeight="1"/>
    <row r="47" spans="1:2" ht="12.75" customHeight="1">
      <c r="A47" s="232"/>
      <c r="B47" s="233"/>
    </row>
    <row r="48" spans="1:2" ht="42.75" customHeight="1">
      <c r="B48" s="617"/>
    </row>
    <row r="49" spans="1:2" ht="13.5" customHeight="1"/>
    <row r="50" spans="1:2" ht="14.25" customHeight="1">
      <c r="A50" s="232"/>
      <c r="B50" s="233"/>
    </row>
    <row r="51" spans="1:2" ht="15" customHeight="1">
      <c r="B51" s="617"/>
    </row>
    <row r="52" spans="1:2" ht="18" customHeight="1"/>
    <row r="53" spans="1:2" ht="9.75" customHeight="1">
      <c r="A53" s="232"/>
      <c r="B53" s="232"/>
    </row>
    <row r="54" spans="1:2" ht="27.75" customHeight="1">
      <c r="B54" s="617"/>
    </row>
    <row r="55" spans="1:2" ht="9.75" customHeight="1"/>
    <row r="56" spans="1:2">
      <c r="A56" s="232"/>
      <c r="B56" s="233"/>
    </row>
    <row r="57" spans="1:2" ht="10.5" customHeight="1">
      <c r="B57" s="617"/>
    </row>
    <row r="58" spans="1:2" s="234" customFormat="1" ht="27" customHeight="1">
      <c r="A58" s="20"/>
      <c r="B58" s="13"/>
    </row>
    <row r="59" spans="1:2" s="234" customFormat="1" ht="9.75" customHeight="1">
      <c r="A59" s="232"/>
    </row>
    <row r="60" spans="1:2" ht="26.25" customHeight="1">
      <c r="B60" s="617"/>
    </row>
    <row r="61" spans="1:2" ht="10.5" customHeight="1"/>
    <row r="62" spans="1:2" ht="26.25" customHeight="1">
      <c r="A62" s="232"/>
      <c r="B62" s="233"/>
    </row>
    <row r="63" spans="1:2" ht="10.5" customHeight="1">
      <c r="B63" s="617"/>
    </row>
    <row r="64" spans="1:2" ht="81.75" customHeight="1"/>
    <row r="65" spans="1:2" s="234" customFormat="1">
      <c r="A65" s="232"/>
      <c r="B65" s="233"/>
    </row>
    <row r="66" spans="1:2" ht="25.5" customHeight="1">
      <c r="B66" s="617"/>
    </row>
    <row r="68" spans="1:2" s="234" customFormat="1" ht="15">
      <c r="A68" s="14"/>
      <c r="B68" s="14"/>
    </row>
    <row r="71" spans="1:2" s="234" customFormat="1">
      <c r="A71" s="20"/>
      <c r="B71" s="13"/>
    </row>
    <row r="72" spans="1:2" ht="45" customHeight="1"/>
    <row r="74" spans="1:2" s="234" customFormat="1">
      <c r="A74" s="20"/>
      <c r="B74" s="13"/>
    </row>
    <row r="75" spans="1:2" ht="32.25" customHeight="1"/>
    <row r="77" spans="1:2" s="234" customFormat="1">
      <c r="A77" s="20"/>
      <c r="B77" s="13"/>
    </row>
    <row r="78" spans="1:2" ht="45.75" customHeight="1"/>
    <row r="80" spans="1:2" s="234" customFormat="1">
      <c r="A80" s="20"/>
      <c r="B80" s="13"/>
    </row>
    <row r="81" spans="1:2" ht="30.75" customHeight="1"/>
    <row r="83" spans="1:2" s="234" customFormat="1">
      <c r="A83" s="20"/>
      <c r="B83" s="13"/>
    </row>
    <row r="84" spans="1:2" ht="30" customHeight="1"/>
    <row r="86" spans="1:2" s="234" customFormat="1">
      <c r="A86" s="20"/>
      <c r="B86" s="13"/>
    </row>
    <row r="87" spans="1:2" ht="30" customHeight="1"/>
    <row r="89" spans="1:2" s="14" customFormat="1" ht="15">
      <c r="A89" s="20"/>
      <c r="B89" s="13"/>
    </row>
    <row r="90" spans="1:2" ht="90.75" customHeight="1"/>
  </sheetData>
  <pageMargins left="0.62992125984251968" right="0.39370078740157483" top="0.59055118110236227" bottom="0.74803149606299213" header="0.35433070866141736" footer="0.31496062992125984"/>
  <pageSetup paperSize="9" fitToHeight="2" orientation="portrait" verticalDpi="200" r:id="rId1"/>
  <headerFooter differentOddEven="1" scaleWithDoc="0">
    <oddHeader>&amp;COxford Health NHS Foundation Trust - Annual Accounts 2012/13</oddHeader>
    <oddFooter>&amp;CPage 21</oddFooter>
    <evenHeader xml:space="preserve">&amp;COxford Health NHS Foundation Trust - Annual Accounts 2012/13 </evenHeader>
    <evenFooter>&amp;L
&amp;CPage 20</evenFooter>
    <firstHeader xml:space="preserve">&amp;COxford Health NHS Foundation Trust - Annual Accounts 2011/12 </firstHeader>
    <firstFooter>&amp;CPage 18</firstFooter>
  </headerFooter>
</worksheet>
</file>

<file path=xl/worksheets/sheet14.xml><?xml version="1.0" encoding="utf-8"?>
<worksheet xmlns="http://schemas.openxmlformats.org/spreadsheetml/2006/main" xmlns:r="http://schemas.openxmlformats.org/officeDocument/2006/relationships">
  <sheetPr codeName="Sheet12">
    <pageSetUpPr fitToPage="1"/>
  </sheetPr>
  <dimension ref="A1:M50"/>
  <sheetViews>
    <sheetView view="pageLayout" topLeftCell="A34" zoomScale="80" zoomScalePageLayoutView="80" workbookViewId="0">
      <selection activeCell="B46" sqref="B46"/>
    </sheetView>
  </sheetViews>
  <sheetFormatPr defaultRowHeight="15"/>
  <cols>
    <col min="1" max="1" width="6.5703125" style="196" customWidth="1"/>
    <col min="2" max="2" width="27.85546875" style="49" customWidth="1"/>
    <col min="3" max="3" width="8.28515625" style="49" customWidth="1"/>
    <col min="4" max="4" width="1.42578125" style="49" customWidth="1"/>
    <col min="5" max="5" width="7.42578125" style="49" customWidth="1"/>
    <col min="6" max="6" width="3.140625" style="49" customWidth="1"/>
    <col min="7" max="7" width="8.140625" style="49" customWidth="1"/>
    <col min="8" max="8" width="1.7109375" style="49" customWidth="1"/>
    <col min="9" max="9" width="8.140625" style="49" customWidth="1"/>
    <col min="10" max="10" width="2" style="49" customWidth="1"/>
    <col min="11" max="11" width="8.5703125" style="49" customWidth="1"/>
    <col min="12" max="12" width="1.140625" style="49" customWidth="1"/>
    <col min="13" max="13" width="8" style="49" customWidth="1"/>
    <col min="14" max="16384" width="9.140625" style="49"/>
  </cols>
  <sheetData>
    <row r="1" spans="1:13">
      <c r="A1" s="206"/>
      <c r="B1" s="50"/>
      <c r="C1" s="50"/>
      <c r="D1" s="50"/>
      <c r="E1" s="50"/>
      <c r="F1" s="50"/>
      <c r="G1" s="50"/>
      <c r="H1" s="50"/>
      <c r="I1" s="50"/>
    </row>
    <row r="2" spans="1:13" s="127" customFormat="1" ht="15.75">
      <c r="A2" s="126">
        <v>12</v>
      </c>
      <c r="B2" s="174" t="s">
        <v>128</v>
      </c>
    </row>
    <row r="3" spans="1:13">
      <c r="B3" s="46" t="s">
        <v>174</v>
      </c>
    </row>
    <row r="5" spans="1:13" s="127" customFormat="1">
      <c r="A5" s="242">
        <v>12.1</v>
      </c>
      <c r="B5" s="14" t="s">
        <v>748</v>
      </c>
    </row>
    <row r="6" spans="1:13" s="127" customFormat="1" ht="15.75">
      <c r="A6" s="126"/>
      <c r="B6" s="174"/>
    </row>
    <row r="7" spans="1:13">
      <c r="B7" s="13"/>
      <c r="C7" s="120" t="str">
        <f>This_year</f>
        <v>2012/13</v>
      </c>
      <c r="D7" s="121"/>
      <c r="E7" s="121" t="str">
        <f>Last_year</f>
        <v>2011/12</v>
      </c>
    </row>
    <row r="8" spans="1:13">
      <c r="B8" s="13"/>
      <c r="C8" s="12" t="s">
        <v>24</v>
      </c>
      <c r="D8" s="12"/>
      <c r="E8" s="128" t="s">
        <v>24</v>
      </c>
    </row>
    <row r="9" spans="1:13">
      <c r="B9" s="243" t="s">
        <v>175</v>
      </c>
      <c r="C9" s="129">
        <v>8201</v>
      </c>
      <c r="D9" s="130"/>
      <c r="E9" s="130">
        <f>3421+4976</f>
        <v>8397</v>
      </c>
    </row>
    <row r="10" spans="1:13">
      <c r="B10" s="243" t="s">
        <v>176</v>
      </c>
      <c r="C10" s="129">
        <v>0</v>
      </c>
      <c r="D10" s="130"/>
      <c r="E10" s="130">
        <v>0</v>
      </c>
    </row>
    <row r="11" spans="1:13">
      <c r="B11" s="243" t="s">
        <v>177</v>
      </c>
      <c r="C11" s="129">
        <v>0</v>
      </c>
      <c r="D11" s="130"/>
      <c r="E11" s="130">
        <v>0</v>
      </c>
    </row>
    <row r="12" spans="1:13" ht="15.75" thickBot="1">
      <c r="B12" s="13"/>
      <c r="C12" s="131">
        <f>SUM(C9:C11)</f>
        <v>8201</v>
      </c>
      <c r="D12" s="130"/>
      <c r="E12" s="132">
        <f>SUM(E9:E11)</f>
        <v>8397</v>
      </c>
    </row>
    <row r="13" spans="1:13" ht="15.75" thickTop="1"/>
    <row r="14" spans="1:13" s="127" customFormat="1">
      <c r="A14" s="242">
        <v>12.2</v>
      </c>
      <c r="B14" s="244" t="s">
        <v>178</v>
      </c>
    </row>
    <row r="16" spans="1:13" s="602" customFormat="1" ht="32.25" customHeight="1">
      <c r="A16" s="601"/>
      <c r="B16" s="257"/>
      <c r="C16" s="669" t="s">
        <v>179</v>
      </c>
      <c r="D16" s="669"/>
      <c r="E16" s="669"/>
      <c r="F16" s="603"/>
      <c r="G16" s="669" t="s">
        <v>180</v>
      </c>
      <c r="H16" s="669"/>
      <c r="I16" s="669"/>
      <c r="J16" s="604"/>
      <c r="K16" s="669" t="s">
        <v>827</v>
      </c>
      <c r="L16" s="669"/>
      <c r="M16" s="669"/>
    </row>
    <row r="17" spans="1:13">
      <c r="B17" s="13"/>
      <c r="C17" s="120" t="str">
        <f>This_year</f>
        <v>2012/13</v>
      </c>
      <c r="D17" s="121"/>
      <c r="E17" s="121" t="str">
        <f>Last_year</f>
        <v>2011/12</v>
      </c>
      <c r="F17" s="121"/>
      <c r="G17" s="120" t="str">
        <f>This_year</f>
        <v>2012/13</v>
      </c>
      <c r="H17" s="121"/>
      <c r="I17" s="121" t="str">
        <f>Last_year</f>
        <v>2011/12</v>
      </c>
      <c r="K17" s="120" t="str">
        <f>This_year</f>
        <v>2012/13</v>
      </c>
      <c r="L17" s="121"/>
      <c r="M17" s="121" t="str">
        <f>Last_year</f>
        <v>2011/12</v>
      </c>
    </row>
    <row r="18" spans="1:13">
      <c r="B18" s="13"/>
      <c r="C18" s="12" t="s">
        <v>24</v>
      </c>
      <c r="D18" s="12"/>
      <c r="E18" s="128" t="s">
        <v>24</v>
      </c>
      <c r="F18" s="121"/>
      <c r="G18" s="12" t="s">
        <v>24</v>
      </c>
      <c r="H18" s="12"/>
      <c r="I18" s="128" t="s">
        <v>24</v>
      </c>
      <c r="K18" s="12" t="s">
        <v>24</v>
      </c>
      <c r="L18" s="12"/>
      <c r="M18" s="128" t="s">
        <v>24</v>
      </c>
    </row>
    <row r="19" spans="1:13">
      <c r="B19" s="243" t="s">
        <v>181</v>
      </c>
      <c r="C19" s="245"/>
      <c r="D19" s="187"/>
      <c r="E19" s="187"/>
      <c r="F19" s="187"/>
      <c r="G19" s="245"/>
      <c r="H19" s="187"/>
      <c r="I19" s="187"/>
      <c r="K19" s="245"/>
      <c r="L19" s="187"/>
      <c r="M19" s="187"/>
    </row>
    <row r="20" spans="1:13">
      <c r="B20" s="243" t="s">
        <v>182</v>
      </c>
      <c r="C20" s="129">
        <v>5129</v>
      </c>
      <c r="D20" s="130"/>
      <c r="E20" s="130">
        <v>6644</v>
      </c>
      <c r="F20" s="130"/>
      <c r="G20" s="129">
        <v>269</v>
      </c>
      <c r="H20" s="130"/>
      <c r="I20" s="130">
        <f>1252-486</f>
        <v>766</v>
      </c>
      <c r="K20" s="129">
        <v>643</v>
      </c>
      <c r="L20" s="130"/>
      <c r="M20" s="130">
        <v>486</v>
      </c>
    </row>
    <row r="21" spans="1:13">
      <c r="B21" s="243" t="s">
        <v>183</v>
      </c>
      <c r="C21" s="129">
        <v>7368</v>
      </c>
      <c r="D21" s="130"/>
      <c r="E21" s="130">
        <v>10388</v>
      </c>
      <c r="F21" s="130"/>
      <c r="G21" s="129">
        <v>221</v>
      </c>
      <c r="H21" s="130"/>
      <c r="I21" s="130">
        <f>1051-320</f>
        <v>731</v>
      </c>
      <c r="K21" s="129">
        <v>601</v>
      </c>
      <c r="L21" s="130"/>
      <c r="M21" s="130">
        <v>320</v>
      </c>
    </row>
    <row r="22" spans="1:13">
      <c r="B22" s="243" t="s">
        <v>184</v>
      </c>
      <c r="C22" s="129">
        <v>14908</v>
      </c>
      <c r="D22" s="130"/>
      <c r="E22" s="130">
        <v>14672</v>
      </c>
      <c r="F22" s="130"/>
      <c r="G22" s="129">
        <v>0</v>
      </c>
      <c r="H22" s="130"/>
      <c r="I22" s="130">
        <v>0</v>
      </c>
      <c r="K22" s="129">
        <v>0</v>
      </c>
      <c r="L22" s="130"/>
      <c r="M22" s="130">
        <v>0</v>
      </c>
    </row>
    <row r="23" spans="1:13" ht="15.75" thickBot="1">
      <c r="B23" s="243" t="s">
        <v>53</v>
      </c>
      <c r="C23" s="131">
        <f>SUM(C20:C22)</f>
        <v>27405</v>
      </c>
      <c r="D23" s="130"/>
      <c r="E23" s="132">
        <f>SUM(E20:E22)</f>
        <v>31704</v>
      </c>
      <c r="F23" s="130"/>
      <c r="G23" s="131">
        <f>SUM(G20:G22)</f>
        <v>490</v>
      </c>
      <c r="H23" s="130"/>
      <c r="I23" s="132">
        <f>SUM(I20:I22)</f>
        <v>1497</v>
      </c>
      <c r="K23" s="131">
        <f>SUM(K20:K22)</f>
        <v>1244</v>
      </c>
      <c r="L23" s="130"/>
      <c r="M23" s="132">
        <f>SUM(M20:M22)</f>
        <v>806</v>
      </c>
    </row>
    <row r="24" spans="1:13" ht="15.75" thickTop="1"/>
    <row r="25" spans="1:13">
      <c r="B25" s="243" t="s">
        <v>185</v>
      </c>
    </row>
    <row r="26" spans="1:13">
      <c r="B26" s="243"/>
    </row>
    <row r="27" spans="1:13" ht="28.5" customHeight="1">
      <c r="B27" s="665" t="s">
        <v>828</v>
      </c>
      <c r="C27" s="665"/>
      <c r="D27" s="665"/>
      <c r="E27" s="665"/>
      <c r="F27" s="665"/>
      <c r="G27" s="665"/>
      <c r="H27" s="665"/>
      <c r="I27" s="665"/>
      <c r="J27" s="665"/>
      <c r="K27" s="665"/>
      <c r="L27" s="665"/>
      <c r="M27" s="665"/>
    </row>
    <row r="29" spans="1:13" s="127" customFormat="1">
      <c r="A29" s="242">
        <v>12.3</v>
      </c>
      <c r="B29" s="244" t="s">
        <v>749</v>
      </c>
    </row>
    <row r="30" spans="1:13" ht="17.25" customHeight="1">
      <c r="B30" s="670" t="s">
        <v>590</v>
      </c>
      <c r="C30" s="670"/>
      <c r="D30" s="670"/>
      <c r="E30" s="670"/>
      <c r="F30" s="670"/>
      <c r="G30" s="670"/>
      <c r="H30" s="670"/>
      <c r="I30" s="670"/>
      <c r="J30" s="670"/>
      <c r="K30" s="670"/>
      <c r="L30" s="670"/>
      <c r="M30" s="670"/>
    </row>
    <row r="31" spans="1:13">
      <c r="B31" s="670"/>
      <c r="C31" s="670"/>
      <c r="D31" s="670"/>
      <c r="E31" s="670"/>
      <c r="F31" s="670"/>
      <c r="G31" s="670"/>
      <c r="H31" s="670"/>
      <c r="I31" s="670"/>
      <c r="J31" s="670"/>
      <c r="K31" s="670"/>
      <c r="L31" s="670"/>
      <c r="M31" s="670"/>
    </row>
    <row r="32" spans="1:13" ht="30" customHeight="1"/>
    <row r="33" spans="1:9">
      <c r="A33" s="29">
        <v>13</v>
      </c>
      <c r="B33" s="14" t="s">
        <v>750</v>
      </c>
      <c r="C33" s="14"/>
      <c r="D33" s="14"/>
      <c r="E33" s="14"/>
      <c r="F33" s="14"/>
      <c r="G33" s="14"/>
      <c r="H33" s="14"/>
      <c r="I33" s="14"/>
    </row>
    <row r="34" spans="1:9">
      <c r="A34" s="20"/>
      <c r="B34" s="13"/>
      <c r="C34" s="13"/>
      <c r="D34" s="13"/>
      <c r="E34" s="13"/>
      <c r="F34" s="13"/>
      <c r="G34" s="13"/>
      <c r="H34" s="13"/>
      <c r="I34" s="13"/>
    </row>
    <row r="35" spans="1:9">
      <c r="A35" s="29">
        <v>13.1</v>
      </c>
      <c r="B35" s="14" t="s">
        <v>675</v>
      </c>
      <c r="C35" s="14"/>
      <c r="D35" s="14"/>
      <c r="E35" s="14"/>
      <c r="F35" s="14"/>
      <c r="G35" s="14"/>
      <c r="H35" s="14"/>
      <c r="I35" s="14"/>
    </row>
    <row r="36" spans="1:9">
      <c r="A36" s="20"/>
      <c r="B36" s="13"/>
      <c r="E36" s="120" t="str">
        <f>This_year</f>
        <v>2012/13</v>
      </c>
      <c r="F36" s="121"/>
      <c r="G36" s="121" t="str">
        <f>Last_year</f>
        <v>2011/12</v>
      </c>
      <c r="H36" s="13"/>
      <c r="I36" s="13"/>
    </row>
    <row r="37" spans="1:9">
      <c r="A37" s="20"/>
      <c r="B37" s="13"/>
      <c r="E37" s="247" t="s">
        <v>24</v>
      </c>
      <c r="F37" s="117"/>
      <c r="G37" s="248" t="s">
        <v>24</v>
      </c>
      <c r="H37" s="13"/>
      <c r="I37" s="13"/>
    </row>
    <row r="38" spans="1:9">
      <c r="A38" s="20"/>
      <c r="B38" s="249" t="s">
        <v>169</v>
      </c>
      <c r="E38" s="366">
        <v>73</v>
      </c>
      <c r="F38" s="44"/>
      <c r="G38" s="44">
        <v>117</v>
      </c>
      <c r="H38" s="13"/>
      <c r="I38" s="13"/>
    </row>
    <row r="39" spans="1:9" ht="26.25">
      <c r="A39" s="20"/>
      <c r="B39" s="598" t="s">
        <v>202</v>
      </c>
      <c r="E39" s="599">
        <v>0</v>
      </c>
      <c r="F39" s="600"/>
      <c r="G39" s="600">
        <v>15</v>
      </c>
      <c r="H39" s="13"/>
      <c r="I39" s="13"/>
    </row>
    <row r="40" spans="1:9">
      <c r="A40" s="20"/>
      <c r="B40" s="249" t="s">
        <v>825</v>
      </c>
      <c r="E40" s="366">
        <v>9</v>
      </c>
      <c r="F40" s="44"/>
      <c r="G40" s="44">
        <v>0</v>
      </c>
      <c r="H40" s="13"/>
      <c r="I40" s="13"/>
    </row>
    <row r="41" spans="1:9" ht="15.75" thickBot="1">
      <c r="A41" s="20"/>
      <c r="B41" s="379"/>
      <c r="E41" s="57">
        <f>SUM(E38:E40)</f>
        <v>82</v>
      </c>
      <c r="F41" s="44"/>
      <c r="G41" s="45">
        <f>SUM(G38:G40)</f>
        <v>132</v>
      </c>
      <c r="H41" s="13"/>
      <c r="I41" s="13"/>
    </row>
    <row r="42" spans="1:9" ht="15.75" thickTop="1">
      <c r="A42" s="20"/>
      <c r="B42" s="13"/>
      <c r="C42" s="13"/>
      <c r="D42" s="13"/>
      <c r="E42" s="13"/>
      <c r="F42" s="13"/>
      <c r="G42" s="13"/>
      <c r="H42" s="13"/>
      <c r="I42" s="13"/>
    </row>
    <row r="43" spans="1:9">
      <c r="A43" s="20"/>
      <c r="B43" s="668" t="s">
        <v>826</v>
      </c>
      <c r="C43" s="668"/>
      <c r="D43" s="668"/>
      <c r="E43" s="668"/>
      <c r="F43" s="668"/>
      <c r="G43" s="668"/>
      <c r="H43" s="668"/>
      <c r="I43" s="668"/>
    </row>
    <row r="44" spans="1:9">
      <c r="A44" s="20"/>
      <c r="B44" s="13"/>
      <c r="C44" s="13"/>
      <c r="D44" s="13"/>
      <c r="E44" s="13"/>
      <c r="F44" s="13"/>
      <c r="G44" s="13"/>
      <c r="H44" s="13"/>
      <c r="I44" s="13"/>
    </row>
    <row r="45" spans="1:9">
      <c r="A45" s="29">
        <v>13.2</v>
      </c>
      <c r="B45" s="14" t="s">
        <v>203</v>
      </c>
      <c r="C45" s="14"/>
      <c r="D45" s="14"/>
      <c r="E45" s="14"/>
      <c r="F45" s="14"/>
      <c r="G45" s="14"/>
      <c r="H45" s="14"/>
      <c r="I45" s="14"/>
    </row>
    <row r="46" spans="1:9">
      <c r="A46" s="20"/>
      <c r="B46" s="13"/>
      <c r="E46" s="120" t="str">
        <f>This_year</f>
        <v>2012/13</v>
      </c>
      <c r="F46" s="121"/>
      <c r="G46" s="121" t="str">
        <f>Last_year</f>
        <v>2011/12</v>
      </c>
      <c r="H46" s="13"/>
      <c r="I46" s="13"/>
    </row>
    <row r="47" spans="1:9">
      <c r="A47" s="20"/>
      <c r="B47" s="379"/>
      <c r="E47" s="247" t="s">
        <v>24</v>
      </c>
      <c r="F47" s="117"/>
      <c r="G47" s="248" t="s">
        <v>24</v>
      </c>
      <c r="H47" s="13"/>
      <c r="I47" s="13"/>
    </row>
    <row r="48" spans="1:9">
      <c r="A48" s="20"/>
      <c r="B48" s="379" t="s">
        <v>203</v>
      </c>
      <c r="E48" s="43">
        <v>0</v>
      </c>
      <c r="F48" s="44"/>
      <c r="G48" s="44">
        <v>0</v>
      </c>
      <c r="H48" s="13"/>
      <c r="I48" s="13"/>
    </row>
    <row r="49" spans="1:9" ht="15.75" thickBot="1">
      <c r="A49" s="20"/>
      <c r="B49" s="379"/>
      <c r="E49" s="57">
        <f>SUM(E48)</f>
        <v>0</v>
      </c>
      <c r="F49" s="44"/>
      <c r="G49" s="45">
        <f>SUM(G48)</f>
        <v>0</v>
      </c>
      <c r="H49" s="13"/>
      <c r="I49" s="13"/>
    </row>
    <row r="50" spans="1:9" ht="15.75" thickTop="1"/>
  </sheetData>
  <mergeCells count="6">
    <mergeCell ref="B43:I43"/>
    <mergeCell ref="K16:M16"/>
    <mergeCell ref="B27:M27"/>
    <mergeCell ref="C16:E16"/>
    <mergeCell ref="G16:I16"/>
    <mergeCell ref="B30:M31"/>
  </mergeCells>
  <pageMargins left="0.7" right="0.7" top="0.51" bottom="0.75" header="0.3" footer="0.3"/>
  <pageSetup paperSize="9" scale="94" orientation="portrait" verticalDpi="200" r:id="rId1"/>
  <headerFooter>
    <oddHeader xml:space="preserve">&amp;COxford Health NHS Foundation Trust - Annual Accounts 2012/13
</oddHeader>
    <oddFooter>&amp;CPage 22</oddFooter>
  </headerFooter>
</worksheet>
</file>

<file path=xl/worksheets/sheet15.xml><?xml version="1.0" encoding="utf-8"?>
<worksheet xmlns="http://schemas.openxmlformats.org/spreadsheetml/2006/main" xmlns:r="http://schemas.openxmlformats.org/officeDocument/2006/relationships">
  <sheetPr codeName="Sheet15">
    <pageSetUpPr fitToPage="1"/>
  </sheetPr>
  <dimension ref="A1:I47"/>
  <sheetViews>
    <sheetView view="pageLayout" topLeftCell="A22" zoomScale="80" zoomScalePageLayoutView="80" workbookViewId="0">
      <selection activeCell="B46" sqref="B46"/>
    </sheetView>
  </sheetViews>
  <sheetFormatPr defaultRowHeight="15"/>
  <cols>
    <col min="1" max="1" width="5.5703125" style="196" bestFit="1" customWidth="1"/>
    <col min="2" max="2" width="48.85546875" style="49" customWidth="1"/>
    <col min="3" max="3" width="8.140625" style="49" bestFit="1" customWidth="1"/>
    <col min="4" max="4" width="2.5703125" style="49" customWidth="1"/>
    <col min="5" max="5" width="7.85546875" style="49" customWidth="1"/>
    <col min="6" max="6" width="2.85546875" style="49" customWidth="1"/>
    <col min="7" max="7" width="7.42578125" style="49" bestFit="1" customWidth="1"/>
    <col min="8" max="8" width="2.140625" style="49" customWidth="1"/>
    <col min="9" max="9" width="7.140625" style="49" customWidth="1"/>
    <col min="10" max="10" width="3.42578125" style="49" customWidth="1"/>
    <col min="11" max="16384" width="9.140625" style="49"/>
  </cols>
  <sheetData>
    <row r="1" spans="1:9">
      <c r="A1" s="206"/>
      <c r="B1" s="50"/>
      <c r="C1" s="50"/>
      <c r="D1" s="50"/>
      <c r="E1" s="50"/>
      <c r="F1" s="50"/>
      <c r="G1" s="50"/>
      <c r="H1" s="50"/>
      <c r="I1" s="50"/>
    </row>
    <row r="2" spans="1:9" s="127" customFormat="1">
      <c r="A2" s="20"/>
      <c r="B2" s="13"/>
      <c r="C2" s="13"/>
      <c r="D2" s="13"/>
      <c r="E2" s="13"/>
      <c r="F2" s="13"/>
      <c r="G2" s="13"/>
      <c r="H2" s="13"/>
      <c r="I2" s="13"/>
    </row>
    <row r="3" spans="1:9">
      <c r="A3" s="29">
        <v>14</v>
      </c>
      <c r="B3" s="14" t="s">
        <v>751</v>
      </c>
      <c r="C3" s="14"/>
      <c r="D3" s="14"/>
      <c r="E3" s="14"/>
      <c r="F3" s="14"/>
      <c r="G3" s="14"/>
      <c r="H3" s="14"/>
      <c r="I3" s="14"/>
    </row>
    <row r="4" spans="1:9" s="127" customFormat="1">
      <c r="A4" s="20"/>
      <c r="B4" s="13"/>
      <c r="C4" s="663" t="str">
        <f>This_year</f>
        <v>2012/13</v>
      </c>
      <c r="D4" s="663"/>
      <c r="E4" s="663"/>
      <c r="F4" s="13"/>
      <c r="G4" s="671" t="str">
        <f>Last_year</f>
        <v>2011/12</v>
      </c>
      <c r="H4" s="671"/>
      <c r="I4" s="671"/>
    </row>
    <row r="5" spans="1:9">
      <c r="A5" s="20"/>
      <c r="B5" s="13"/>
      <c r="C5" s="14" t="s">
        <v>204</v>
      </c>
      <c r="D5" s="14"/>
      <c r="E5" s="247" t="s">
        <v>24</v>
      </c>
      <c r="F5" s="13"/>
      <c r="G5" s="13" t="s">
        <v>204</v>
      </c>
      <c r="H5" s="13"/>
      <c r="I5" s="248" t="s">
        <v>24</v>
      </c>
    </row>
    <row r="6" spans="1:9">
      <c r="A6" s="20"/>
      <c r="B6" s="250" t="s">
        <v>214</v>
      </c>
      <c r="C6" s="14"/>
      <c r="D6" s="14"/>
      <c r="E6" s="14"/>
      <c r="F6" s="13"/>
      <c r="G6" s="13"/>
      <c r="H6" s="13"/>
      <c r="I6" s="13"/>
    </row>
    <row r="7" spans="1:9">
      <c r="A7" s="20"/>
      <c r="B7" s="116" t="s">
        <v>205</v>
      </c>
      <c r="C7" s="365">
        <v>63429</v>
      </c>
      <c r="D7" s="562"/>
      <c r="E7" s="365">
        <v>86622</v>
      </c>
      <c r="F7" s="44"/>
      <c r="G7" s="516">
        <v>61851</v>
      </c>
      <c r="H7" s="517"/>
      <c r="I7" s="516">
        <v>73529</v>
      </c>
    </row>
    <row r="8" spans="1:9">
      <c r="A8" s="20"/>
      <c r="B8" s="252" t="s">
        <v>206</v>
      </c>
      <c r="C8" s="365">
        <v>59949</v>
      </c>
      <c r="D8" s="562"/>
      <c r="E8" s="365">
        <v>82670</v>
      </c>
      <c r="F8" s="44"/>
      <c r="G8" s="516">
        <v>58231</v>
      </c>
      <c r="H8" s="517"/>
      <c r="I8" s="516">
        <v>69966</v>
      </c>
    </row>
    <row r="9" spans="1:9" ht="15.75" thickBot="1">
      <c r="A9" s="20"/>
      <c r="B9" s="252" t="s">
        <v>207</v>
      </c>
      <c r="C9" s="253">
        <f>C8/C7</f>
        <v>0.94513550584117678</v>
      </c>
      <c r="D9" s="254"/>
      <c r="E9" s="253">
        <f>E8/E7</f>
        <v>0.95437648634296135</v>
      </c>
      <c r="F9" s="46"/>
      <c r="G9" s="255">
        <f>G8/G7</f>
        <v>0.94147224782137717</v>
      </c>
      <c r="H9" s="256"/>
      <c r="I9" s="255">
        <f>I8/I7</f>
        <v>0.95154292864040035</v>
      </c>
    </row>
    <row r="10" spans="1:9">
      <c r="A10" s="20"/>
      <c r="B10" s="13"/>
      <c r="C10" s="14"/>
      <c r="D10" s="14"/>
      <c r="E10" s="14"/>
      <c r="F10" s="13"/>
      <c r="G10" s="13"/>
      <c r="H10" s="13"/>
      <c r="I10" s="13"/>
    </row>
    <row r="11" spans="1:9" s="127" customFormat="1">
      <c r="A11" s="20"/>
      <c r="B11" s="116" t="s">
        <v>208</v>
      </c>
      <c r="C11" s="365">
        <v>2421</v>
      </c>
      <c r="D11" s="562"/>
      <c r="E11" s="365">
        <v>22346</v>
      </c>
      <c r="F11" s="44"/>
      <c r="G11" s="516">
        <v>2351</v>
      </c>
      <c r="H11" s="518"/>
      <c r="I11" s="516">
        <v>25409</v>
      </c>
    </row>
    <row r="12" spans="1:9">
      <c r="A12" s="20"/>
      <c r="B12" s="252" t="s">
        <v>209</v>
      </c>
      <c r="C12" s="365">
        <v>2280</v>
      </c>
      <c r="D12" s="562"/>
      <c r="E12" s="365">
        <v>21687</v>
      </c>
      <c r="F12" s="44"/>
      <c r="G12" s="516">
        <v>2244</v>
      </c>
      <c r="H12" s="518"/>
      <c r="I12" s="516">
        <v>24718</v>
      </c>
    </row>
    <row r="13" spans="1:9" ht="15.75" thickBot="1">
      <c r="A13" s="20"/>
      <c r="B13" s="252" t="s">
        <v>210</v>
      </c>
      <c r="C13" s="253">
        <f>C12/C11</f>
        <v>0.9417596034696406</v>
      </c>
      <c r="D13" s="254"/>
      <c r="E13" s="253">
        <f>E12/E11</f>
        <v>0.97050926340284616</v>
      </c>
      <c r="F13" s="46"/>
      <c r="G13" s="255">
        <f>G12/G11</f>
        <v>0.95448745214802211</v>
      </c>
      <c r="H13" s="256"/>
      <c r="I13" s="255">
        <f>I12/I11</f>
        <v>0.97280491164548</v>
      </c>
    </row>
    <row r="14" spans="1:9">
      <c r="A14" s="20"/>
      <c r="B14" s="13"/>
      <c r="C14" s="13"/>
      <c r="D14" s="13"/>
      <c r="E14" s="13"/>
      <c r="F14" s="13"/>
      <c r="G14" s="13"/>
      <c r="H14" s="13"/>
      <c r="I14" s="13"/>
    </row>
    <row r="15" spans="1:9" ht="25.5" customHeight="1">
      <c r="A15" s="20"/>
      <c r="B15" s="670" t="s">
        <v>612</v>
      </c>
      <c r="C15" s="670"/>
      <c r="D15" s="670"/>
      <c r="E15" s="670"/>
      <c r="F15" s="670"/>
      <c r="G15" s="670"/>
      <c r="H15" s="670"/>
      <c r="I15" s="670"/>
    </row>
    <row r="16" spans="1:9">
      <c r="A16" s="20"/>
      <c r="B16" s="257"/>
      <c r="C16" s="13"/>
      <c r="D16" s="13"/>
      <c r="E16" s="13"/>
      <c r="F16" s="13"/>
      <c r="G16" s="13"/>
      <c r="H16" s="13"/>
      <c r="I16" s="13"/>
    </row>
    <row r="17" spans="1:9" s="127" customFormat="1">
      <c r="A17" s="29">
        <v>15</v>
      </c>
      <c r="B17" s="14" t="s">
        <v>211</v>
      </c>
      <c r="C17" s="14"/>
      <c r="D17" s="14"/>
      <c r="E17" s="14"/>
      <c r="F17" s="14"/>
      <c r="G17" s="14"/>
      <c r="H17" s="14"/>
      <c r="I17" s="14"/>
    </row>
    <row r="18" spans="1:9">
      <c r="A18" s="20"/>
      <c r="B18" s="13"/>
      <c r="C18" s="14" t="str">
        <f>This_year</f>
        <v>2012/13</v>
      </c>
      <c r="D18" s="13"/>
      <c r="E18" s="13" t="str">
        <f>Last_year</f>
        <v>2011/12</v>
      </c>
      <c r="F18" s="13"/>
      <c r="G18" s="13"/>
      <c r="H18" s="13"/>
      <c r="I18" s="13"/>
    </row>
    <row r="19" spans="1:9">
      <c r="A19" s="20"/>
      <c r="B19" s="13"/>
      <c r="C19" s="247" t="s">
        <v>24</v>
      </c>
      <c r="D19" s="117"/>
      <c r="E19" s="248" t="s">
        <v>24</v>
      </c>
      <c r="F19" s="13"/>
      <c r="G19" s="13"/>
      <c r="H19" s="13"/>
      <c r="I19" s="13"/>
    </row>
    <row r="20" spans="1:9" ht="26.25">
      <c r="A20" s="20"/>
      <c r="B20" s="241" t="s">
        <v>212</v>
      </c>
      <c r="C20" s="258">
        <v>0</v>
      </c>
      <c r="D20" s="259"/>
      <c r="E20" s="259">
        <v>0</v>
      </c>
      <c r="F20" s="13"/>
      <c r="G20" s="13"/>
      <c r="H20" s="13"/>
      <c r="I20" s="13"/>
    </row>
    <row r="21" spans="1:9" ht="26.25">
      <c r="A21" s="20"/>
      <c r="B21" s="241" t="s">
        <v>213</v>
      </c>
      <c r="C21" s="258">
        <v>0</v>
      </c>
      <c r="D21" s="259"/>
      <c r="E21" s="259">
        <v>0</v>
      </c>
      <c r="F21" s="13"/>
      <c r="G21" s="13"/>
      <c r="H21" s="13"/>
      <c r="I21" s="13"/>
    </row>
    <row r="22" spans="1:9" ht="15.75" thickBot="1">
      <c r="A22" s="20"/>
      <c r="B22" s="13"/>
      <c r="C22" s="57">
        <f>SUM(C20:C21)</f>
        <v>0</v>
      </c>
      <c r="D22" s="44"/>
      <c r="E22" s="45">
        <f>SUM(E20:E21)</f>
        <v>0</v>
      </c>
      <c r="F22" s="13"/>
      <c r="G22" s="13"/>
      <c r="H22" s="13"/>
      <c r="I22" s="13"/>
    </row>
    <row r="23" spans="1:9" ht="15.75" thickTop="1">
      <c r="A23" s="20"/>
      <c r="B23" s="13"/>
      <c r="C23" s="13"/>
      <c r="D23" s="13"/>
      <c r="E23" s="13"/>
      <c r="F23" s="13"/>
      <c r="G23" s="13"/>
      <c r="H23" s="13"/>
      <c r="I23" s="13"/>
    </row>
    <row r="25" spans="1:9" ht="15.75">
      <c r="A25" s="29">
        <v>16</v>
      </c>
      <c r="B25" s="14" t="s">
        <v>14</v>
      </c>
      <c r="C25" s="121"/>
      <c r="D25" s="121"/>
      <c r="E25" s="121"/>
      <c r="F25" s="115"/>
    </row>
    <row r="26" spans="1:9">
      <c r="A26" s="189"/>
      <c r="B26" s="13"/>
      <c r="C26" s="120" t="str">
        <f>This_year</f>
        <v>2012/13</v>
      </c>
      <c r="D26" s="121"/>
      <c r="E26" s="121" t="str">
        <f>Last_year</f>
        <v>2011/12</v>
      </c>
    </row>
    <row r="27" spans="1:9">
      <c r="A27" s="189"/>
      <c r="B27" s="13"/>
      <c r="C27" s="12" t="s">
        <v>24</v>
      </c>
      <c r="D27" s="121"/>
      <c r="E27" s="260" t="s">
        <v>24</v>
      </c>
    </row>
    <row r="28" spans="1:9">
      <c r="A28" s="49"/>
      <c r="B28" s="348" t="s">
        <v>752</v>
      </c>
      <c r="C28" s="245">
        <v>172</v>
      </c>
      <c r="D28" s="187"/>
      <c r="E28" s="187">
        <v>250</v>
      </c>
    </row>
    <row r="29" spans="1:9" s="127" customFormat="1">
      <c r="A29" s="49"/>
      <c r="B29" s="348" t="s">
        <v>523</v>
      </c>
      <c r="C29" s="365">
        <v>0</v>
      </c>
      <c r="D29" s="130"/>
      <c r="E29" s="190">
        <v>1</v>
      </c>
      <c r="F29" s="49"/>
      <c r="G29" s="49"/>
      <c r="H29" s="49"/>
      <c r="I29" s="49"/>
    </row>
    <row r="30" spans="1:9" s="127" customFormat="1" ht="15.75" thickBot="1">
      <c r="A30" s="49"/>
      <c r="B30" s="13"/>
      <c r="C30" s="262">
        <f>SUM(C28:C29)</f>
        <v>172</v>
      </c>
      <c r="D30" s="130"/>
      <c r="E30" s="263">
        <f>SUM(E28:E29)</f>
        <v>251</v>
      </c>
      <c r="F30" s="49"/>
      <c r="G30" s="49"/>
      <c r="H30" s="49"/>
      <c r="I30" s="49"/>
    </row>
    <row r="31" spans="1:9" ht="15.75" thickTop="1">
      <c r="A31" s="49"/>
      <c r="C31" s="157"/>
      <c r="D31" s="157"/>
      <c r="E31" s="157"/>
    </row>
    <row r="32" spans="1:9" ht="15.75">
      <c r="A32" s="29">
        <v>17</v>
      </c>
      <c r="B32" s="14" t="s">
        <v>753</v>
      </c>
      <c r="C32" s="121"/>
      <c r="D32" s="121"/>
      <c r="E32" s="121"/>
      <c r="F32" s="115"/>
    </row>
    <row r="33" spans="1:9">
      <c r="A33" s="189"/>
      <c r="B33" s="13"/>
      <c r="C33" s="120" t="str">
        <f>This_year</f>
        <v>2012/13</v>
      </c>
      <c r="D33" s="121"/>
      <c r="E33" s="121" t="str">
        <f>Last_year</f>
        <v>2011/12</v>
      </c>
    </row>
    <row r="34" spans="1:9">
      <c r="A34" s="189"/>
      <c r="B34" s="13"/>
      <c r="C34" s="12" t="s">
        <v>24</v>
      </c>
      <c r="D34" s="121"/>
      <c r="E34" s="260" t="s">
        <v>24</v>
      </c>
    </row>
    <row r="35" spans="1:9">
      <c r="A35" s="49"/>
      <c r="B35" s="379" t="s">
        <v>215</v>
      </c>
      <c r="C35" s="127">
        <v>453</v>
      </c>
      <c r="D35" s="130"/>
      <c r="E35" s="190">
        <v>356</v>
      </c>
    </row>
    <row r="36" spans="1:9">
      <c r="A36" s="49"/>
      <c r="B36" s="379" t="s">
        <v>216</v>
      </c>
      <c r="D36" s="130"/>
      <c r="E36" s="190"/>
    </row>
    <row r="37" spans="1:9">
      <c r="A37" s="49"/>
      <c r="B37" s="261" t="s">
        <v>455</v>
      </c>
      <c r="C37" s="127">
        <v>720</v>
      </c>
      <c r="D37" s="130"/>
      <c r="E37" s="190">
        <v>714</v>
      </c>
    </row>
    <row r="38" spans="1:9">
      <c r="A38" s="49"/>
      <c r="B38" s="261" t="s">
        <v>456</v>
      </c>
      <c r="C38" s="127">
        <v>270</v>
      </c>
      <c r="D38" s="130"/>
      <c r="E38" s="190">
        <v>247</v>
      </c>
    </row>
    <row r="39" spans="1:9">
      <c r="A39" s="49"/>
      <c r="B39" s="348" t="s">
        <v>521</v>
      </c>
      <c r="C39" s="127">
        <v>84</v>
      </c>
      <c r="D39" s="130"/>
      <c r="E39" s="190">
        <v>9</v>
      </c>
    </row>
    <row r="40" spans="1:9">
      <c r="A40" s="49"/>
      <c r="B40" s="374" t="s">
        <v>522</v>
      </c>
      <c r="C40" s="127">
        <v>57</v>
      </c>
      <c r="D40" s="130"/>
      <c r="E40" s="190">
        <v>43</v>
      </c>
    </row>
    <row r="41" spans="1:9">
      <c r="A41" s="49"/>
      <c r="B41" s="348" t="s">
        <v>819</v>
      </c>
      <c r="C41" s="127">
        <v>18</v>
      </c>
      <c r="D41" s="130"/>
      <c r="E41" s="190">
        <v>0</v>
      </c>
    </row>
    <row r="42" spans="1:9" ht="15.75" thickBot="1">
      <c r="A42" s="49"/>
      <c r="B42" s="379"/>
      <c r="C42" s="262">
        <f>SUM(C35:C41)</f>
        <v>1602</v>
      </c>
      <c r="D42" s="251"/>
      <c r="E42" s="263">
        <f>SUM(E35:E41)</f>
        <v>1369</v>
      </c>
    </row>
    <row r="43" spans="1:9" ht="15.75" thickTop="1">
      <c r="A43" s="49"/>
      <c r="C43" s="157"/>
      <c r="D43" s="157"/>
      <c r="E43" s="157"/>
    </row>
    <row r="44" spans="1:9">
      <c r="A44" s="49"/>
      <c r="C44" s="157"/>
      <c r="D44" s="157"/>
      <c r="E44" s="157"/>
    </row>
    <row r="45" spans="1:9">
      <c r="A45" s="49"/>
      <c r="B45" s="576" t="s">
        <v>754</v>
      </c>
      <c r="C45" s="625"/>
      <c r="D45" s="625"/>
      <c r="E45" s="625"/>
      <c r="F45" s="576"/>
      <c r="G45" s="576"/>
      <c r="H45" s="576"/>
      <c r="I45" s="576"/>
    </row>
    <row r="46" spans="1:9" ht="15" customHeight="1">
      <c r="A46" s="49"/>
      <c r="B46" s="672" t="s">
        <v>457</v>
      </c>
      <c r="C46" s="672"/>
      <c r="D46" s="672"/>
      <c r="E46" s="672"/>
      <c r="F46" s="672"/>
      <c r="G46" s="672"/>
      <c r="H46" s="672"/>
      <c r="I46" s="672"/>
    </row>
    <row r="47" spans="1:9" ht="27.75" customHeight="1">
      <c r="B47" s="672"/>
      <c r="C47" s="672"/>
      <c r="D47" s="672"/>
      <c r="E47" s="672"/>
      <c r="F47" s="672"/>
      <c r="G47" s="672"/>
      <c r="H47" s="672"/>
      <c r="I47" s="672"/>
    </row>
  </sheetData>
  <mergeCells count="4">
    <mergeCell ref="C4:E4"/>
    <mergeCell ref="G4:I4"/>
    <mergeCell ref="B15:I15"/>
    <mergeCell ref="B46:I47"/>
  </mergeCells>
  <pageMargins left="0.7" right="0.7" top="0.50468749999999996" bottom="0.75" header="0.3" footer="0.3"/>
  <pageSetup paperSize="9" scale="94" orientation="portrait" verticalDpi="200" r:id="rId1"/>
  <headerFooter scaleWithDoc="0">
    <oddHeader xml:space="preserve">&amp;COxford Health NHS Foundation Trust - Annual Accounts 2012/13
</oddHeader>
    <oddFooter>&amp;CPage 23</oddFooter>
  </headerFooter>
</worksheet>
</file>

<file path=xl/worksheets/sheet16.xml><?xml version="1.0" encoding="utf-8"?>
<worksheet xmlns="http://schemas.openxmlformats.org/spreadsheetml/2006/main" xmlns:r="http://schemas.openxmlformats.org/officeDocument/2006/relationships">
  <sheetPr codeName="Sheet17">
    <pageSetUpPr fitToPage="1"/>
  </sheetPr>
  <dimension ref="A1:H26"/>
  <sheetViews>
    <sheetView view="pageLayout" topLeftCell="H1" workbookViewId="0">
      <selection activeCell="B46" sqref="B46"/>
    </sheetView>
  </sheetViews>
  <sheetFormatPr defaultRowHeight="15"/>
  <cols>
    <col min="1" max="1" width="4" style="196" customWidth="1"/>
    <col min="2" max="2" width="41.7109375" style="49" customWidth="1"/>
    <col min="3" max="3" width="12.28515625" style="194" customWidth="1"/>
    <col min="4" max="4" width="2.5703125" style="157" customWidth="1"/>
    <col min="5" max="5" width="11.5703125" style="195" customWidth="1"/>
    <col min="6" max="6" width="2" style="49" customWidth="1"/>
    <col min="7" max="7" width="10" style="49" customWidth="1"/>
    <col min="8" max="8" width="2.140625" style="49" customWidth="1"/>
    <col min="9" max="9" width="9.85546875" style="49" customWidth="1"/>
    <col min="10" max="10" width="1.85546875" style="49" customWidth="1"/>
    <col min="11" max="11" width="45.85546875" style="49" customWidth="1"/>
    <col min="12" max="16384" width="9.140625" style="49"/>
  </cols>
  <sheetData>
    <row r="1" spans="1:8">
      <c r="A1" s="206"/>
      <c r="B1" s="50"/>
      <c r="C1" s="200"/>
      <c r="D1" s="201"/>
      <c r="E1" s="202"/>
      <c r="F1" s="50"/>
      <c r="G1" s="50"/>
      <c r="H1" s="50"/>
    </row>
    <row r="2" spans="1:8" s="174" customFormat="1" ht="15.75">
      <c r="A2" s="29">
        <v>18</v>
      </c>
      <c r="B2" s="14" t="s">
        <v>27</v>
      </c>
      <c r="C2" s="120"/>
      <c r="D2" s="120"/>
      <c r="E2" s="120"/>
      <c r="F2" s="14"/>
    </row>
    <row r="3" spans="1:8" ht="15" customHeight="1">
      <c r="A3" s="20"/>
      <c r="B3" s="13"/>
      <c r="C3" s="663"/>
      <c r="D3" s="663"/>
      <c r="E3" s="663"/>
      <c r="F3" s="663"/>
    </row>
    <row r="4" spans="1:8">
      <c r="A4" s="20"/>
      <c r="B4" s="13"/>
      <c r="C4" s="120" t="str">
        <f>This_year</f>
        <v>2012/13</v>
      </c>
      <c r="D4" s="121"/>
      <c r="E4" s="121" t="str">
        <f>Last_year</f>
        <v>2011/12</v>
      </c>
      <c r="F4" s="13"/>
    </row>
    <row r="5" spans="1:8">
      <c r="A5" s="20"/>
      <c r="B5" s="13"/>
      <c r="C5" s="264" t="s">
        <v>217</v>
      </c>
      <c r="D5" s="121"/>
      <c r="E5" s="265" t="s">
        <v>217</v>
      </c>
      <c r="F5" s="13"/>
    </row>
    <row r="6" spans="1:8">
      <c r="A6" s="20"/>
      <c r="B6" s="14" t="str">
        <f>"Gross cost at 1 April"</f>
        <v>Gross cost at 1 April</v>
      </c>
      <c r="C6" s="129">
        <f>E8</f>
        <v>638</v>
      </c>
      <c r="D6" s="130"/>
      <c r="E6" s="130">
        <v>467</v>
      </c>
      <c r="F6" s="13"/>
    </row>
    <row r="7" spans="1:8">
      <c r="A7" s="20"/>
      <c r="B7" s="267" t="s">
        <v>222</v>
      </c>
      <c r="C7" s="129">
        <v>72</v>
      </c>
      <c r="D7" s="130"/>
      <c r="E7" s="130">
        <v>171</v>
      </c>
      <c r="F7" s="13"/>
    </row>
    <row r="8" spans="1:8" ht="15.75" thickBot="1">
      <c r="A8" s="20"/>
      <c r="B8" s="14" t="str">
        <f>"Gross cost at 31 March"</f>
        <v>Gross cost at 31 March</v>
      </c>
      <c r="C8" s="262">
        <f>SUM(C6:C7)</f>
        <v>710</v>
      </c>
      <c r="D8" s="130"/>
      <c r="E8" s="263">
        <f>SUM(E6:E7)</f>
        <v>638</v>
      </c>
      <c r="F8" s="13"/>
    </row>
    <row r="9" spans="1:8" ht="15.75" thickTop="1">
      <c r="A9" s="20"/>
      <c r="B9" s="13"/>
      <c r="C9" s="120"/>
      <c r="D9" s="121"/>
      <c r="E9" s="268"/>
      <c r="F9" s="13"/>
    </row>
    <row r="10" spans="1:8">
      <c r="A10" s="20"/>
      <c r="B10" s="14" t="str">
        <f>"Amortisation at 1 April"</f>
        <v>Amortisation at 1 April</v>
      </c>
      <c r="C10" s="269">
        <f>345.47</f>
        <v>345.47</v>
      </c>
      <c r="D10" s="269"/>
      <c r="E10" s="246">
        <v>306</v>
      </c>
      <c r="F10" s="13"/>
    </row>
    <row r="11" spans="1:8">
      <c r="A11" s="20"/>
      <c r="B11" s="46" t="s">
        <v>225</v>
      </c>
      <c r="C11" s="269">
        <v>59.3</v>
      </c>
      <c r="D11" s="269"/>
      <c r="E11" s="246">
        <v>39</v>
      </c>
      <c r="F11" s="13"/>
    </row>
    <row r="12" spans="1:8" ht="15.75" thickBot="1">
      <c r="A12" s="20"/>
      <c r="B12" s="14" t="str">
        <f>"Amortisation at 31 March"</f>
        <v>Amortisation at 31 March</v>
      </c>
      <c r="C12" s="262">
        <f>SUM(C10:C11)</f>
        <v>404.77000000000004</v>
      </c>
      <c r="D12" s="269"/>
      <c r="E12" s="263">
        <f>SUM(E10:E11)</f>
        <v>345</v>
      </c>
      <c r="F12" s="13"/>
    </row>
    <row r="13" spans="1:8" ht="15.75" thickTop="1">
      <c r="A13" s="20"/>
      <c r="B13" s="13"/>
      <c r="C13" s="270"/>
      <c r="D13" s="270"/>
      <c r="E13" s="268"/>
      <c r="F13" s="13"/>
    </row>
    <row r="14" spans="1:8">
      <c r="A14" s="20"/>
      <c r="B14" s="271" t="s">
        <v>226</v>
      </c>
      <c r="C14" s="270"/>
      <c r="D14" s="270"/>
      <c r="E14" s="268"/>
      <c r="F14" s="13"/>
    </row>
    <row r="15" spans="1:8">
      <c r="A15" s="20"/>
      <c r="B15" s="272" t="str">
        <f xml:space="preserve"> "Purchased at " &amp; TEXT(This_year_ended, "dd mmmm yyyy")</f>
        <v>Purchased at 31 March 2013</v>
      </c>
      <c r="C15" s="269">
        <v>305</v>
      </c>
      <c r="D15" s="269"/>
      <c r="E15" s="269">
        <v>292</v>
      </c>
      <c r="F15" s="13"/>
    </row>
    <row r="16" spans="1:8" ht="15.75" thickBot="1">
      <c r="A16" s="20"/>
      <c r="B16" s="14" t="str">
        <f xml:space="preserve"> "Total at " &amp; TEXT(This_year_ended, "dd mmmm yyyy")</f>
        <v>Total at 31 March 2013</v>
      </c>
      <c r="C16" s="262">
        <f>SUM(C15:C15)</f>
        <v>305</v>
      </c>
      <c r="D16" s="269"/>
      <c r="E16" s="262">
        <f>SUM(E15:E15)</f>
        <v>292</v>
      </c>
      <c r="F16" s="13"/>
    </row>
    <row r="17" spans="1:7" ht="15.75" thickTop="1">
      <c r="A17" s="20"/>
      <c r="B17" s="13"/>
      <c r="C17" s="270"/>
      <c r="D17" s="270"/>
      <c r="E17" s="268"/>
      <c r="F17" s="13"/>
    </row>
    <row r="18" spans="1:7" ht="47.25" customHeight="1">
      <c r="A18" s="20"/>
      <c r="B18" s="673" t="s">
        <v>755</v>
      </c>
      <c r="C18" s="673"/>
      <c r="D18" s="673"/>
      <c r="E18" s="673"/>
      <c r="F18" s="673"/>
      <c r="G18" s="673"/>
    </row>
    <row r="19" spans="1:7">
      <c r="A19" s="20"/>
      <c r="B19" s="13"/>
      <c r="C19" s="120"/>
      <c r="D19" s="121"/>
      <c r="E19" s="121"/>
      <c r="F19" s="13"/>
    </row>
    <row r="20" spans="1:7">
      <c r="A20" s="20"/>
      <c r="B20" s="14" t="s">
        <v>227</v>
      </c>
      <c r="C20" s="120"/>
      <c r="D20" s="121"/>
      <c r="E20" s="121"/>
      <c r="F20" s="13"/>
    </row>
    <row r="21" spans="1:7">
      <c r="A21" s="20"/>
      <c r="B21" s="13"/>
      <c r="C21" s="120" t="str">
        <f>This_year</f>
        <v>2012/13</v>
      </c>
      <c r="D21" s="121"/>
      <c r="E21" s="121" t="str">
        <f>Last_year</f>
        <v>2011/12</v>
      </c>
      <c r="F21" s="13"/>
    </row>
    <row r="22" spans="1:7">
      <c r="A22" s="20"/>
      <c r="B22" s="13"/>
      <c r="C22" s="264" t="s">
        <v>217</v>
      </c>
      <c r="D22" s="121"/>
      <c r="E22" s="265" t="s">
        <v>217</v>
      </c>
      <c r="F22" s="13"/>
    </row>
    <row r="23" spans="1:7">
      <c r="A23" s="20"/>
      <c r="B23" s="14" t="str">
        <f xml:space="preserve"> "At " &amp; TEXT(This_year_beginning, "d mmmm yyyy")</f>
        <v>At 1 April 2012</v>
      </c>
      <c r="C23" s="129">
        <v>0</v>
      </c>
      <c r="D23" s="130"/>
      <c r="E23" s="246">
        <v>0</v>
      </c>
      <c r="F23" s="13"/>
    </row>
    <row r="24" spans="1:7">
      <c r="A24" s="20"/>
      <c r="B24" s="46" t="s">
        <v>228</v>
      </c>
      <c r="C24" s="129">
        <v>0</v>
      </c>
      <c r="D24" s="130"/>
      <c r="E24" s="246">
        <v>0</v>
      </c>
      <c r="F24" s="13"/>
    </row>
    <row r="25" spans="1:7" ht="15.75" thickBot="1">
      <c r="A25" s="20"/>
      <c r="B25" s="14" t="str">
        <f xml:space="preserve"> "At " &amp; TEXT(This_year_ended, "dd mmmm yyyy")</f>
        <v>At 31 March 2013</v>
      </c>
      <c r="C25" s="262">
        <f>SUM(C23:C24)</f>
        <v>0</v>
      </c>
      <c r="D25" s="130"/>
      <c r="E25" s="263">
        <f>SUM(E23:E24)</f>
        <v>0</v>
      </c>
      <c r="F25" s="13"/>
    </row>
    <row r="26" spans="1:7" ht="15.75" thickTop="1">
      <c r="A26" s="20"/>
      <c r="B26" s="13"/>
      <c r="C26" s="120"/>
      <c r="D26" s="121"/>
      <c r="E26" s="121"/>
      <c r="F26" s="13"/>
    </row>
  </sheetData>
  <mergeCells count="2">
    <mergeCell ref="C3:F3"/>
    <mergeCell ref="B18:G18"/>
  </mergeCells>
  <pageMargins left="0.7" right="0.7" top="0.51041666666666663" bottom="0.75" header="0.3" footer="0.3"/>
  <pageSetup paperSize="9" orientation="portrait" verticalDpi="200" r:id="rId1"/>
  <headerFooter scaleWithDoc="0">
    <oddHeader xml:space="preserve">&amp;COxford Health NHS Foundation Trust - Annual Accounts 2012/13
</oddHeader>
    <oddFooter>&amp;CPage 24</oddFooter>
  </headerFooter>
</worksheet>
</file>

<file path=xl/worksheets/sheet17.xml><?xml version="1.0" encoding="utf-8"?>
<worksheet xmlns="http://schemas.openxmlformats.org/spreadsheetml/2006/main" xmlns:r="http://schemas.openxmlformats.org/officeDocument/2006/relationships">
  <sheetPr codeName="Sheet18">
    <pageSetUpPr fitToPage="1"/>
  </sheetPr>
  <dimension ref="A1:S47"/>
  <sheetViews>
    <sheetView view="pageLayout" topLeftCell="A12" zoomScale="80" zoomScaleNormal="85" zoomScalePageLayoutView="80" workbookViewId="0">
      <selection activeCell="B46" sqref="B46"/>
    </sheetView>
  </sheetViews>
  <sheetFormatPr defaultRowHeight="14.25"/>
  <cols>
    <col min="1" max="1" width="6.42578125" style="20" bestFit="1" customWidth="1"/>
    <col min="2" max="2" width="42.28515625" style="13" customWidth="1"/>
    <col min="3" max="3" width="12.7109375" style="13" customWidth="1"/>
    <col min="4" max="4" width="1.7109375" style="13" customWidth="1"/>
    <col min="5" max="5" width="12.7109375" style="13" customWidth="1"/>
    <col min="6" max="6" width="1.7109375" style="13" customWidth="1"/>
    <col min="7" max="7" width="12.7109375" style="13" customWidth="1"/>
    <col min="8" max="8" width="1.7109375" style="13" customWidth="1"/>
    <col min="9" max="9" width="14.85546875" style="13" customWidth="1"/>
    <col min="10" max="10" width="1.7109375" style="13" customWidth="1"/>
    <col min="11" max="11" width="12.7109375" style="13" customWidth="1"/>
    <col min="12" max="12" width="1.7109375" style="13" customWidth="1"/>
    <col min="13" max="13" width="12.7109375" style="13" customWidth="1"/>
    <col min="14" max="14" width="1.7109375" style="13" customWidth="1"/>
    <col min="15" max="15" width="12.7109375" style="13" customWidth="1"/>
    <col min="16" max="16" width="1.7109375" style="13" customWidth="1"/>
    <col min="17" max="17" width="12.7109375" style="13" customWidth="1"/>
    <col min="18" max="18" width="1.7109375" style="13" customWidth="1"/>
    <col min="19" max="19" width="12.7109375" style="13" customWidth="1"/>
    <col min="20" max="16384" width="9.140625" style="13"/>
  </cols>
  <sheetData>
    <row r="1" spans="1:19" s="19" customFormat="1">
      <c r="A1" s="58"/>
    </row>
    <row r="2" spans="1:19" s="174" customFormat="1" ht="15.75">
      <c r="A2" s="126">
        <v>19</v>
      </c>
      <c r="B2" s="174" t="s">
        <v>238</v>
      </c>
    </row>
    <row r="4" spans="1:19" s="14" customFormat="1" ht="15">
      <c r="A4" s="29">
        <v>19.100000000000001</v>
      </c>
      <c r="B4" s="14" t="s">
        <v>635</v>
      </c>
    </row>
    <row r="6" spans="1:19" s="325" customFormat="1" ht="82.5" customHeight="1">
      <c r="A6" s="324"/>
      <c r="C6" s="326" t="s">
        <v>239</v>
      </c>
      <c r="D6" s="326"/>
      <c r="E6" s="326" t="s">
        <v>240</v>
      </c>
      <c r="F6" s="326"/>
      <c r="G6" s="326" t="s">
        <v>241</v>
      </c>
      <c r="H6" s="326"/>
      <c r="I6" s="326" t="s">
        <v>242</v>
      </c>
      <c r="K6" s="326" t="s">
        <v>243</v>
      </c>
      <c r="M6" s="326" t="s">
        <v>244</v>
      </c>
      <c r="O6" s="326" t="s">
        <v>245</v>
      </c>
      <c r="Q6" s="326" t="s">
        <v>246</v>
      </c>
      <c r="S6" s="326" t="s">
        <v>53</v>
      </c>
    </row>
    <row r="7" spans="1:19" ht="15">
      <c r="C7" s="264" t="s">
        <v>217</v>
      </c>
      <c r="E7" s="264" t="s">
        <v>217</v>
      </c>
      <c r="G7" s="264" t="s">
        <v>217</v>
      </c>
      <c r="I7" s="264" t="s">
        <v>217</v>
      </c>
      <c r="K7" s="264" t="s">
        <v>217</v>
      </c>
      <c r="M7" s="264" t="s">
        <v>217</v>
      </c>
      <c r="O7" s="264" t="s">
        <v>217</v>
      </c>
      <c r="Q7" s="264" t="s">
        <v>217</v>
      </c>
      <c r="S7" s="264" t="s">
        <v>217</v>
      </c>
    </row>
    <row r="8" spans="1:19" s="14" customFormat="1" ht="15">
      <c r="A8" s="29"/>
      <c r="B8" s="59" t="str">
        <f>"Cost or valuation at "&amp;TEXT(This_year_beginning,"d mmmm yyyy")</f>
        <v>Cost or valuation at 1 April 2012</v>
      </c>
      <c r="C8" s="327">
        <v>42803</v>
      </c>
      <c r="D8" s="328"/>
      <c r="E8" s="327">
        <v>63844</v>
      </c>
      <c r="F8" s="328"/>
      <c r="G8" s="327">
        <v>769</v>
      </c>
      <c r="H8" s="328"/>
      <c r="I8" s="327">
        <v>18117</v>
      </c>
      <c r="J8" s="328"/>
      <c r="K8" s="327">
        <v>2180</v>
      </c>
      <c r="L8" s="328"/>
      <c r="M8" s="327">
        <v>91</v>
      </c>
      <c r="N8" s="328"/>
      <c r="O8" s="327">
        <v>10101</v>
      </c>
      <c r="P8" s="328"/>
      <c r="Q8" s="327">
        <v>4579</v>
      </c>
      <c r="R8" s="328"/>
      <c r="S8" s="327">
        <f>SUM(C8:R8)</f>
        <v>142484</v>
      </c>
    </row>
    <row r="9" spans="1:19">
      <c r="B9" s="266" t="s">
        <v>222</v>
      </c>
      <c r="C9" s="328"/>
      <c r="D9" s="328"/>
      <c r="E9" s="328">
        <v>6463</v>
      </c>
      <c r="F9" s="328"/>
      <c r="G9" s="328"/>
      <c r="H9" s="328"/>
      <c r="I9" s="328">
        <v>15999</v>
      </c>
      <c r="J9" s="328"/>
      <c r="K9" s="328">
        <v>120</v>
      </c>
      <c r="L9" s="328"/>
      <c r="M9" s="328"/>
      <c r="N9" s="328"/>
      <c r="O9" s="328">
        <v>756</v>
      </c>
      <c r="P9" s="328"/>
      <c r="Q9" s="328">
        <v>374</v>
      </c>
      <c r="R9" s="328"/>
      <c r="S9" s="328">
        <f t="shared" ref="S9:S18" si="0">SUM(C9:R9)</f>
        <v>23712</v>
      </c>
    </row>
    <row r="10" spans="1:19">
      <c r="B10" s="266" t="s">
        <v>247</v>
      </c>
      <c r="C10" s="328"/>
      <c r="D10" s="328"/>
      <c r="E10" s="328">
        <v>66</v>
      </c>
      <c r="F10" s="328"/>
      <c r="G10" s="328"/>
      <c r="H10" s="328"/>
      <c r="I10" s="328"/>
      <c r="J10" s="328"/>
      <c r="K10" s="328"/>
      <c r="L10" s="328"/>
      <c r="M10" s="328"/>
      <c r="N10" s="328"/>
      <c r="O10" s="328"/>
      <c r="P10" s="328"/>
      <c r="Q10" s="328"/>
      <c r="R10" s="328"/>
      <c r="S10" s="328">
        <f t="shared" si="0"/>
        <v>66</v>
      </c>
    </row>
    <row r="11" spans="1:19">
      <c r="B11" s="266" t="s">
        <v>223</v>
      </c>
      <c r="C11" s="328"/>
      <c r="D11" s="328"/>
      <c r="E11" s="328"/>
      <c r="F11" s="328"/>
      <c r="G11" s="328"/>
      <c r="H11" s="328"/>
      <c r="I11" s="328"/>
      <c r="J11" s="328"/>
      <c r="K11" s="328"/>
      <c r="L11" s="328"/>
      <c r="M11" s="328"/>
      <c r="N11" s="328"/>
      <c r="O11" s="328"/>
      <c r="P11" s="328"/>
      <c r="Q11" s="328"/>
      <c r="R11" s="328"/>
      <c r="S11" s="328">
        <f t="shared" si="0"/>
        <v>0</v>
      </c>
    </row>
    <row r="12" spans="1:19">
      <c r="B12" s="266" t="s">
        <v>220</v>
      </c>
      <c r="C12" s="328"/>
      <c r="D12" s="328"/>
      <c r="E12" s="328">
        <v>7544</v>
      </c>
      <c r="F12" s="328"/>
      <c r="G12" s="328"/>
      <c r="H12" s="328"/>
      <c r="I12" s="328">
        <v>-8342</v>
      </c>
      <c r="J12" s="328"/>
      <c r="K12" s="328">
        <v>501</v>
      </c>
      <c r="L12" s="328"/>
      <c r="M12" s="328"/>
      <c r="N12" s="328"/>
      <c r="O12" s="328">
        <v>9</v>
      </c>
      <c r="P12" s="328"/>
      <c r="Q12" s="328">
        <v>288</v>
      </c>
      <c r="R12" s="328"/>
      <c r="S12" s="328">
        <f t="shared" si="0"/>
        <v>0</v>
      </c>
    </row>
    <row r="13" spans="1:19">
      <c r="B13" s="266" t="s">
        <v>248</v>
      </c>
      <c r="C13" s="328"/>
      <c r="D13" s="328"/>
      <c r="E13" s="328"/>
      <c r="F13" s="328"/>
      <c r="G13" s="328"/>
      <c r="H13" s="328"/>
      <c r="I13" s="328"/>
      <c r="J13" s="328"/>
      <c r="K13" s="328"/>
      <c r="L13" s="328"/>
      <c r="M13" s="328"/>
      <c r="N13" s="328"/>
      <c r="O13" s="328"/>
      <c r="P13" s="328"/>
      <c r="Q13" s="328"/>
      <c r="R13" s="328"/>
      <c r="S13" s="328">
        <f t="shared" si="0"/>
        <v>0</v>
      </c>
    </row>
    <row r="14" spans="1:19">
      <c r="B14" s="266" t="s">
        <v>249</v>
      </c>
      <c r="C14" s="328"/>
      <c r="D14" s="328"/>
      <c r="E14" s="328"/>
      <c r="F14" s="328"/>
      <c r="G14" s="328"/>
      <c r="H14" s="328"/>
      <c r="I14" s="328"/>
      <c r="J14" s="328"/>
      <c r="K14" s="328"/>
      <c r="L14" s="328"/>
      <c r="M14" s="328"/>
      <c r="N14" s="328"/>
      <c r="O14" s="328"/>
      <c r="P14" s="328"/>
      <c r="Q14" s="328"/>
      <c r="R14" s="328"/>
      <c r="S14" s="328">
        <f t="shared" si="0"/>
        <v>0</v>
      </c>
    </row>
    <row r="15" spans="1:19">
      <c r="B15" s="266" t="s">
        <v>218</v>
      </c>
      <c r="C15" s="328"/>
      <c r="D15" s="328"/>
      <c r="E15" s="328"/>
      <c r="F15" s="328"/>
      <c r="G15" s="328"/>
      <c r="H15" s="328"/>
      <c r="I15" s="328"/>
      <c r="J15" s="328"/>
      <c r="K15" s="328"/>
      <c r="L15" s="328"/>
      <c r="M15" s="328"/>
      <c r="N15" s="328"/>
      <c r="O15" s="328"/>
      <c r="P15" s="328"/>
      <c r="Q15" s="328"/>
      <c r="R15" s="328"/>
      <c r="S15" s="328">
        <f t="shared" si="0"/>
        <v>0</v>
      </c>
    </row>
    <row r="16" spans="1:19">
      <c r="B16" s="267" t="s">
        <v>221</v>
      </c>
      <c r="C16" s="328">
        <v>85</v>
      </c>
      <c r="D16" s="328"/>
      <c r="E16" s="328">
        <v>2876</v>
      </c>
      <c r="F16" s="328"/>
      <c r="G16" s="328">
        <v>-4</v>
      </c>
      <c r="H16" s="328"/>
      <c r="I16" s="328"/>
      <c r="J16" s="328"/>
      <c r="K16" s="328"/>
      <c r="L16" s="328"/>
      <c r="M16" s="328"/>
      <c r="N16" s="328"/>
      <c r="O16" s="328"/>
      <c r="P16" s="328"/>
      <c r="Q16" s="328"/>
      <c r="R16" s="328"/>
      <c r="S16" s="328">
        <f t="shared" si="0"/>
        <v>2957</v>
      </c>
    </row>
    <row r="17" spans="1:19">
      <c r="B17" s="266" t="s">
        <v>219</v>
      </c>
      <c r="C17" s="328">
        <v>-378</v>
      </c>
      <c r="D17" s="328"/>
      <c r="E17" s="328">
        <v>-5835</v>
      </c>
      <c r="F17" s="328"/>
      <c r="G17" s="328"/>
      <c r="H17" s="328"/>
      <c r="I17" s="328"/>
      <c r="J17" s="328"/>
      <c r="K17" s="328"/>
      <c r="L17" s="328"/>
      <c r="M17" s="328"/>
      <c r="N17" s="328"/>
      <c r="O17" s="328"/>
      <c r="P17" s="328"/>
      <c r="Q17" s="328"/>
      <c r="R17" s="328"/>
      <c r="S17" s="328">
        <f t="shared" si="0"/>
        <v>-6213</v>
      </c>
    </row>
    <row r="18" spans="1:19">
      <c r="B18" s="266" t="s">
        <v>224</v>
      </c>
      <c r="C18" s="328"/>
      <c r="D18" s="328"/>
      <c r="E18" s="328"/>
      <c r="F18" s="328"/>
      <c r="G18" s="328"/>
      <c r="H18" s="328"/>
      <c r="I18" s="328"/>
      <c r="J18" s="328"/>
      <c r="K18" s="328"/>
      <c r="L18" s="328"/>
      <c r="M18" s="328"/>
      <c r="N18" s="328"/>
      <c r="O18" s="328"/>
      <c r="P18" s="328"/>
      <c r="Q18" s="328"/>
      <c r="R18" s="328"/>
      <c r="S18" s="328">
        <f t="shared" si="0"/>
        <v>0</v>
      </c>
    </row>
    <row r="19" spans="1:19" s="14" customFormat="1" ht="15.75" thickBot="1">
      <c r="A19" s="29"/>
      <c r="B19" s="59" t="str">
        <f>"Cost or valuation at "&amp;TEXT(This_year_ended,"dd mmmm yyyy")</f>
        <v>Cost or valuation at 31 March 2013</v>
      </c>
      <c r="C19" s="329">
        <f>SUM(C8:C18)</f>
        <v>42510</v>
      </c>
      <c r="D19" s="328"/>
      <c r="E19" s="329">
        <f>SUM(E8:E18)</f>
        <v>74958</v>
      </c>
      <c r="F19" s="328"/>
      <c r="G19" s="329">
        <f>SUM(G8:G18)</f>
        <v>765</v>
      </c>
      <c r="H19" s="328"/>
      <c r="I19" s="329">
        <f>SUM(I8:I18)</f>
        <v>25774</v>
      </c>
      <c r="J19" s="328"/>
      <c r="K19" s="329">
        <f>SUM(K8:K18)</f>
        <v>2801</v>
      </c>
      <c r="L19" s="328"/>
      <c r="M19" s="329">
        <f>SUM(M8:M18)</f>
        <v>91</v>
      </c>
      <c r="N19" s="328"/>
      <c r="O19" s="329">
        <f>SUM(O8:O18)</f>
        <v>10866</v>
      </c>
      <c r="P19" s="328"/>
      <c r="Q19" s="329">
        <f>SUM(Q8:Q18)</f>
        <v>5241</v>
      </c>
      <c r="R19" s="328"/>
      <c r="S19" s="329">
        <f>SUM(S8:S18)</f>
        <v>163006</v>
      </c>
    </row>
    <row r="20" spans="1:19" ht="15" thickTop="1">
      <c r="C20" s="122"/>
      <c r="D20" s="122"/>
      <c r="E20" s="122"/>
      <c r="F20" s="122"/>
      <c r="G20" s="122"/>
      <c r="H20" s="122"/>
      <c r="I20" s="122"/>
      <c r="J20" s="122"/>
      <c r="K20" s="122"/>
      <c r="L20" s="122"/>
      <c r="M20" s="122"/>
      <c r="N20" s="122"/>
      <c r="O20" s="122"/>
      <c r="P20" s="122"/>
      <c r="Q20" s="122"/>
      <c r="R20" s="122"/>
      <c r="S20" s="122"/>
    </row>
    <row r="21" spans="1:19" s="14" customFormat="1" ht="15">
      <c r="A21" s="29"/>
      <c r="B21" s="59" t="str">
        <f>"Depreciation at "&amp;TEXT(This_year_beginning,"d mmmm yyyy")</f>
        <v>Depreciation at 1 April 2012</v>
      </c>
      <c r="C21" s="330">
        <v>2864</v>
      </c>
      <c r="D21" s="331"/>
      <c r="E21" s="330">
        <v>2074</v>
      </c>
      <c r="F21" s="331"/>
      <c r="G21" s="330">
        <v>10</v>
      </c>
      <c r="H21" s="331"/>
      <c r="I21" s="330">
        <v>3417</v>
      </c>
      <c r="J21" s="331"/>
      <c r="K21" s="330">
        <v>1451</v>
      </c>
      <c r="L21" s="331"/>
      <c r="M21" s="330">
        <v>91</v>
      </c>
      <c r="N21" s="331"/>
      <c r="O21" s="330">
        <v>7518</v>
      </c>
      <c r="P21" s="331"/>
      <c r="Q21" s="330">
        <v>2459</v>
      </c>
      <c r="R21" s="331"/>
      <c r="S21" s="330">
        <f>SUM(C21:R21)</f>
        <v>19884</v>
      </c>
    </row>
    <row r="22" spans="1:19" s="299" customFormat="1" ht="12.75">
      <c r="A22" s="224"/>
      <c r="B22" s="266" t="s">
        <v>220</v>
      </c>
      <c r="C22" s="328"/>
      <c r="D22" s="328"/>
      <c r="E22" s="328"/>
      <c r="F22" s="328"/>
      <c r="G22" s="328"/>
      <c r="H22" s="328"/>
      <c r="I22" s="328"/>
      <c r="J22" s="328"/>
      <c r="K22" s="328"/>
      <c r="L22" s="328"/>
      <c r="M22" s="328"/>
      <c r="N22" s="328"/>
      <c r="O22" s="328"/>
      <c r="P22" s="328"/>
      <c r="Q22" s="328"/>
      <c r="R22" s="328"/>
      <c r="S22" s="328">
        <f t="shared" ref="S22:S28" si="1">SUM(C22:R22)</f>
        <v>0</v>
      </c>
    </row>
    <row r="23" spans="1:19" s="299" customFormat="1" ht="12.75">
      <c r="A23" s="224"/>
      <c r="B23" s="266" t="s">
        <v>248</v>
      </c>
      <c r="C23" s="328"/>
      <c r="D23" s="328"/>
      <c r="E23" s="328"/>
      <c r="F23" s="328"/>
      <c r="G23" s="328"/>
      <c r="H23" s="328"/>
      <c r="I23" s="328"/>
      <c r="J23" s="328"/>
      <c r="K23" s="328"/>
      <c r="L23" s="328"/>
      <c r="M23" s="328"/>
      <c r="N23" s="328"/>
      <c r="O23" s="328"/>
      <c r="P23" s="328"/>
      <c r="Q23" s="328"/>
      <c r="R23" s="328"/>
      <c r="S23" s="328">
        <f t="shared" si="1"/>
        <v>0</v>
      </c>
    </row>
    <row r="24" spans="1:19" s="299" customFormat="1" ht="12.75">
      <c r="A24" s="224"/>
      <c r="B24" s="266" t="s">
        <v>249</v>
      </c>
      <c r="C24" s="328"/>
      <c r="D24" s="328"/>
      <c r="E24" s="328"/>
      <c r="F24" s="328"/>
      <c r="G24" s="328"/>
      <c r="H24" s="328"/>
      <c r="I24" s="328"/>
      <c r="J24" s="328"/>
      <c r="K24" s="328"/>
      <c r="L24" s="328"/>
      <c r="M24" s="328"/>
      <c r="N24" s="328"/>
      <c r="O24" s="328"/>
      <c r="P24" s="328"/>
      <c r="Q24" s="328"/>
      <c r="R24" s="328"/>
      <c r="S24" s="328">
        <f t="shared" si="1"/>
        <v>0</v>
      </c>
    </row>
    <row r="25" spans="1:19" s="299" customFormat="1" ht="12.75">
      <c r="A25" s="224"/>
      <c r="B25" s="267" t="s">
        <v>221</v>
      </c>
      <c r="C25" s="328"/>
      <c r="D25" s="328"/>
      <c r="E25" s="328">
        <v>-1350</v>
      </c>
      <c r="F25" s="328"/>
      <c r="G25" s="328">
        <v>-19</v>
      </c>
      <c r="H25" s="328"/>
      <c r="I25" s="328"/>
      <c r="J25" s="328"/>
      <c r="K25" s="328"/>
      <c r="L25" s="328"/>
      <c r="M25" s="328"/>
      <c r="N25" s="328"/>
      <c r="O25" s="328"/>
      <c r="P25" s="328"/>
      <c r="Q25" s="328"/>
      <c r="R25" s="328"/>
      <c r="S25" s="328">
        <f t="shared" si="1"/>
        <v>-1369</v>
      </c>
    </row>
    <row r="26" spans="1:19" s="299" customFormat="1" ht="12.75">
      <c r="A26" s="224"/>
      <c r="B26" s="266" t="s">
        <v>64</v>
      </c>
      <c r="C26" s="328">
        <v>154</v>
      </c>
      <c r="D26" s="328"/>
      <c r="E26" s="328">
        <v>3991</v>
      </c>
      <c r="F26" s="328"/>
      <c r="G26" s="328"/>
      <c r="H26" s="328"/>
      <c r="I26" s="328"/>
      <c r="J26" s="328"/>
      <c r="K26" s="328"/>
      <c r="L26" s="328"/>
      <c r="M26" s="328"/>
      <c r="N26" s="328"/>
      <c r="O26" s="328"/>
      <c r="P26" s="328"/>
      <c r="Q26" s="328"/>
      <c r="R26" s="328"/>
      <c r="S26" s="328">
        <f t="shared" si="1"/>
        <v>4145</v>
      </c>
    </row>
    <row r="27" spans="1:19" s="299" customFormat="1" ht="12.75">
      <c r="A27" s="224"/>
      <c r="B27" s="266" t="s">
        <v>224</v>
      </c>
      <c r="C27" s="328"/>
      <c r="D27" s="328"/>
      <c r="F27" s="328"/>
      <c r="G27" s="328"/>
      <c r="H27" s="328"/>
      <c r="I27" s="328"/>
      <c r="J27" s="328"/>
      <c r="K27" s="328"/>
      <c r="L27" s="328"/>
      <c r="M27" s="328"/>
      <c r="N27" s="328"/>
      <c r="O27" s="328"/>
      <c r="P27" s="328"/>
      <c r="Q27" s="328"/>
      <c r="R27" s="328"/>
      <c r="S27" s="328">
        <f t="shared" si="1"/>
        <v>0</v>
      </c>
    </row>
    <row r="28" spans="1:19" s="299" customFormat="1" ht="12.75">
      <c r="A28" s="224"/>
      <c r="B28" s="266" t="s">
        <v>225</v>
      </c>
      <c r="C28" s="328"/>
      <c r="D28" s="328"/>
      <c r="E28" s="328">
        <v>1931</v>
      </c>
      <c r="F28" s="328"/>
      <c r="G28" s="328">
        <v>23.502980000000001</v>
      </c>
      <c r="H28" s="328"/>
      <c r="I28" s="328"/>
      <c r="J28" s="328"/>
      <c r="K28" s="328">
        <v>110</v>
      </c>
      <c r="L28" s="328"/>
      <c r="M28" s="328"/>
      <c r="N28" s="328"/>
      <c r="O28" s="328">
        <v>963.94241</v>
      </c>
      <c r="P28" s="328"/>
      <c r="Q28" s="328">
        <v>428</v>
      </c>
      <c r="R28" s="328"/>
      <c r="S28" s="328">
        <f t="shared" si="1"/>
        <v>3456.4453900000003</v>
      </c>
    </row>
    <row r="29" spans="1:19" s="14" customFormat="1" ht="15.75" thickBot="1">
      <c r="A29" s="29"/>
      <c r="B29" s="59" t="str">
        <f>"Depreciation at "&amp;TEXT(This_year_ended,"dd mmmm yyyy")</f>
        <v>Depreciation at 31 March 2013</v>
      </c>
      <c r="C29" s="329">
        <f>SUM(C21:C28)</f>
        <v>3018</v>
      </c>
      <c r="D29" s="328"/>
      <c r="E29" s="329">
        <f>SUM(E21:E28)</f>
        <v>6646</v>
      </c>
      <c r="F29" s="328"/>
      <c r="G29" s="329">
        <f>SUM(G21:G28)</f>
        <v>14.502980000000001</v>
      </c>
      <c r="H29" s="328"/>
      <c r="I29" s="329">
        <f>SUM(I21:I28)</f>
        <v>3417</v>
      </c>
      <c r="J29" s="328"/>
      <c r="K29" s="329">
        <f>SUM(K21:K28)</f>
        <v>1561</v>
      </c>
      <c r="L29" s="328"/>
      <c r="M29" s="329">
        <f>SUM(M21:M28)</f>
        <v>91</v>
      </c>
      <c r="N29" s="328"/>
      <c r="O29" s="329">
        <f>SUM(O21:O28)</f>
        <v>8481.9424099999997</v>
      </c>
      <c r="P29" s="328"/>
      <c r="Q29" s="329">
        <f>SUM(Q21:Q28)</f>
        <v>2887</v>
      </c>
      <c r="R29" s="328"/>
      <c r="S29" s="329">
        <f>SUM(S21:S28)</f>
        <v>26116.445390000001</v>
      </c>
    </row>
    <row r="30" spans="1:19" ht="15" thickTop="1">
      <c r="C30" s="122"/>
      <c r="D30" s="122"/>
      <c r="E30" s="122"/>
      <c r="F30" s="122"/>
      <c r="G30" s="122"/>
      <c r="H30" s="122"/>
      <c r="I30" s="122"/>
      <c r="J30" s="122"/>
      <c r="K30" s="122"/>
      <c r="L30" s="122"/>
      <c r="M30" s="122"/>
      <c r="N30" s="122"/>
      <c r="O30" s="122"/>
      <c r="P30" s="122"/>
      <c r="Q30" s="122"/>
      <c r="R30" s="122"/>
      <c r="S30" s="122"/>
    </row>
    <row r="31" spans="1:19" s="14" customFormat="1" ht="15">
      <c r="A31" s="29"/>
      <c r="B31" s="271" t="s">
        <v>250</v>
      </c>
      <c r="C31" s="18"/>
      <c r="D31" s="18"/>
      <c r="E31" s="18"/>
      <c r="F31" s="18"/>
      <c r="G31" s="18"/>
      <c r="H31" s="18"/>
      <c r="I31" s="18"/>
      <c r="J31" s="18"/>
      <c r="K31" s="18"/>
      <c r="L31" s="18"/>
      <c r="M31" s="18"/>
      <c r="N31" s="18"/>
      <c r="O31" s="18"/>
      <c r="P31" s="18"/>
      <c r="Q31" s="18"/>
      <c r="R31" s="18"/>
      <c r="S31" s="18"/>
    </row>
    <row r="32" spans="1:19" s="299" customFormat="1" ht="12.75">
      <c r="A32" s="224"/>
      <c r="B32" s="332" t="str">
        <f>"Purchased at "&amp;TEXT(This_year_ended,"dd mmmm yyyy")</f>
        <v>Purchased at 31 March 2013</v>
      </c>
      <c r="C32" s="328">
        <v>39492</v>
      </c>
      <c r="D32" s="328"/>
      <c r="E32" s="328">
        <v>59785</v>
      </c>
      <c r="F32" s="328"/>
      <c r="G32" s="328">
        <v>751</v>
      </c>
      <c r="H32" s="328"/>
      <c r="I32" s="328">
        <v>22357</v>
      </c>
      <c r="J32" s="328"/>
      <c r="K32" s="328">
        <v>1240</v>
      </c>
      <c r="L32" s="328"/>
      <c r="M32" s="240"/>
      <c r="N32" s="240"/>
      <c r="O32" s="328">
        <v>2384</v>
      </c>
      <c r="P32" s="240"/>
      <c r="Q32" s="328">
        <v>2355</v>
      </c>
      <c r="R32" s="328"/>
      <c r="S32" s="328">
        <f>SUM(C32:R32)</f>
        <v>128364</v>
      </c>
    </row>
    <row r="33" spans="1:19" s="299" customFormat="1" ht="12.75">
      <c r="A33" s="224"/>
      <c r="B33" s="332" t="str">
        <f>"Private finance initiatives at "&amp;TEXT(This_year_ended,"dd mmmm yyyy")</f>
        <v>Private finance initiatives at 31 March 2013</v>
      </c>
      <c r="C33" s="328"/>
      <c r="D33" s="328"/>
      <c r="E33" s="328">
        <f>7384</f>
        <v>7384</v>
      </c>
      <c r="F33" s="328"/>
      <c r="G33" s="328"/>
      <c r="H33" s="328"/>
      <c r="I33" s="328"/>
      <c r="J33" s="328"/>
      <c r="K33" s="328"/>
      <c r="L33" s="328"/>
      <c r="M33" s="328"/>
      <c r="N33" s="328"/>
      <c r="O33" s="328"/>
      <c r="P33" s="328"/>
      <c r="Q33" s="328"/>
      <c r="R33" s="328"/>
      <c r="S33" s="328">
        <f t="shared" ref="S33:S34" si="2">SUM(C33:R33)</f>
        <v>7384</v>
      </c>
    </row>
    <row r="34" spans="1:19" s="299" customFormat="1" ht="12.75">
      <c r="A34" s="224"/>
      <c r="B34" s="332" t="str">
        <f>"Donated and Government Granted at "&amp;TEXT(This_year_ended,"dd mmmm yyyy")</f>
        <v>Donated and Government Granted at 31 March 2013</v>
      </c>
      <c r="C34" s="328"/>
      <c r="D34" s="328"/>
      <c r="E34" s="328">
        <v>1143</v>
      </c>
      <c r="F34" s="328"/>
      <c r="G34" s="328"/>
      <c r="H34" s="328"/>
      <c r="I34" s="328"/>
      <c r="J34" s="328"/>
      <c r="K34" s="328"/>
      <c r="L34" s="328"/>
      <c r="M34" s="328"/>
      <c r="N34" s="328"/>
      <c r="O34" s="328"/>
      <c r="P34" s="328"/>
      <c r="Q34" s="328"/>
      <c r="R34" s="328"/>
      <c r="S34" s="328">
        <f t="shared" si="2"/>
        <v>1143</v>
      </c>
    </row>
    <row r="35" spans="1:19" s="14" customFormat="1" ht="15.75" thickBot="1">
      <c r="A35" s="29"/>
      <c r="B35" s="59" t="str">
        <f>"Total at "&amp;TEXT(This_year_ended,"dd mmmm yyyy")</f>
        <v>Total at 31 March 2013</v>
      </c>
      <c r="C35" s="329">
        <f>SUM(C32:C34)</f>
        <v>39492</v>
      </c>
      <c r="D35" s="328"/>
      <c r="E35" s="329">
        <f>SUM(E32:E34)</f>
        <v>68312</v>
      </c>
      <c r="F35" s="328"/>
      <c r="G35" s="329">
        <f>SUM(G32:G34)</f>
        <v>751</v>
      </c>
      <c r="H35" s="328"/>
      <c r="I35" s="329">
        <f>SUM(I32:I34)</f>
        <v>22357</v>
      </c>
      <c r="J35" s="328"/>
      <c r="K35" s="329">
        <f>SUM(K32:K34)</f>
        <v>1240</v>
      </c>
      <c r="L35" s="328"/>
      <c r="M35" s="329">
        <f>SUM(M32:M34)</f>
        <v>0</v>
      </c>
      <c r="N35" s="328"/>
      <c r="O35" s="329">
        <f>SUM(O32:O34)</f>
        <v>2384</v>
      </c>
      <c r="P35" s="328"/>
      <c r="Q35" s="329">
        <f>SUM(Q32:Q34)</f>
        <v>2355</v>
      </c>
      <c r="R35" s="328"/>
      <c r="S35" s="329">
        <f>SUM(S32:S34)</f>
        <v>136891</v>
      </c>
    </row>
    <row r="36" spans="1:19" s="14" customFormat="1" ht="15.75" thickTop="1">
      <c r="A36" s="29"/>
      <c r="B36" s="59"/>
      <c r="C36" s="328"/>
      <c r="D36" s="328"/>
      <c r="E36" s="328"/>
      <c r="F36" s="328"/>
      <c r="G36" s="328"/>
      <c r="H36" s="328"/>
      <c r="I36" s="328"/>
      <c r="J36" s="328"/>
      <c r="K36" s="328"/>
      <c r="L36" s="328"/>
      <c r="M36" s="328"/>
      <c r="N36" s="328"/>
      <c r="O36" s="328"/>
      <c r="P36" s="328"/>
      <c r="Q36" s="328"/>
      <c r="R36" s="328"/>
      <c r="S36" s="328"/>
    </row>
    <row r="37" spans="1:19">
      <c r="B37" s="332" t="str">
        <f>"Purchased at "&amp;TEXT(This_year_beginning,"d mmmm yyyy")</f>
        <v>Purchased at 1 April 2012</v>
      </c>
      <c r="C37" s="328">
        <f>'Tangibles 2'!C32</f>
        <v>39939</v>
      </c>
      <c r="D37" s="291"/>
      <c r="E37" s="328">
        <f>'Tangibles 2'!E32</f>
        <v>52459</v>
      </c>
      <c r="F37" s="291"/>
      <c r="G37" s="328">
        <f>'Tangibles 2'!G32</f>
        <v>760</v>
      </c>
      <c r="H37" s="291"/>
      <c r="I37" s="328">
        <f>'Tangibles 2'!I32</f>
        <v>14700</v>
      </c>
      <c r="J37" s="291"/>
      <c r="K37" s="328">
        <f>'Tangibles 2'!K32</f>
        <v>727</v>
      </c>
      <c r="L37" s="291"/>
      <c r="M37" s="328"/>
      <c r="N37" s="291"/>
      <c r="O37" s="328">
        <f>'Tangibles 2'!O32</f>
        <v>2583</v>
      </c>
      <c r="P37" s="291"/>
      <c r="Q37" s="328">
        <f>'Tangibles 2'!Q32</f>
        <v>2120</v>
      </c>
      <c r="R37" s="291"/>
      <c r="S37" s="328">
        <f>SUM(C37:R37)</f>
        <v>113288</v>
      </c>
    </row>
    <row r="38" spans="1:19" s="240" customFormat="1" ht="12.75">
      <c r="A38" s="334"/>
      <c r="B38" s="332" t="str">
        <f>"Private finance initiatives at "&amp;TEXT(This_year_beginning,"d mmmm yyyy")</f>
        <v>Private finance initiatives at 1 April 2012</v>
      </c>
      <c r="C38" s="328"/>
      <c r="D38" s="328"/>
      <c r="E38" s="328">
        <f>'Tangibles 2'!E33</f>
        <v>8219</v>
      </c>
      <c r="F38" s="328"/>
      <c r="G38" s="328"/>
      <c r="H38" s="328"/>
      <c r="I38" s="328"/>
      <c r="J38" s="328"/>
      <c r="K38" s="328"/>
      <c r="L38" s="328"/>
      <c r="M38" s="328"/>
      <c r="N38" s="328"/>
      <c r="O38" s="328"/>
      <c r="P38" s="328"/>
      <c r="Q38" s="328"/>
      <c r="R38" s="328"/>
      <c r="S38" s="328">
        <f t="shared" ref="S38:S39" si="3">SUM(C38:R38)</f>
        <v>8219</v>
      </c>
    </row>
    <row r="39" spans="1:19" s="299" customFormat="1" ht="12.75">
      <c r="A39" s="224"/>
      <c r="B39" s="332" t="str">
        <f>"Donated and Government Granted at "&amp;TEXT(This_year_beginning,"dd mmmm yyyy")</f>
        <v>Donated and Government Granted at 01 April 2012</v>
      </c>
      <c r="C39" s="328"/>
      <c r="D39" s="328"/>
      <c r="E39" s="328">
        <f>'Tangibles 2'!E34</f>
        <v>1092</v>
      </c>
      <c r="F39" s="328"/>
      <c r="G39" s="328"/>
      <c r="H39" s="328"/>
      <c r="I39" s="328"/>
      <c r="J39" s="328"/>
      <c r="K39" s="328">
        <f>'Tangibles 2'!K34</f>
        <v>2</v>
      </c>
      <c r="L39" s="328"/>
      <c r="M39" s="328"/>
      <c r="N39" s="328"/>
      <c r="O39" s="328"/>
      <c r="P39" s="328"/>
      <c r="Q39" s="328"/>
      <c r="R39" s="328"/>
      <c r="S39" s="328">
        <f t="shared" si="3"/>
        <v>1094</v>
      </c>
    </row>
    <row r="40" spans="1:19" s="299" customFormat="1" ht="15.75" thickBot="1">
      <c r="A40" s="224"/>
      <c r="B40" s="59" t="str">
        <f>"Total at "&amp;TEXT(This_year_beginning,"d mmmm yyyy")</f>
        <v>Total at 1 April 2012</v>
      </c>
      <c r="C40" s="329">
        <f>'Tangibles 2'!C35</f>
        <v>39939</v>
      </c>
      <c r="D40" s="328"/>
      <c r="E40" s="329">
        <f>'Tangibles 2'!E35</f>
        <v>61770</v>
      </c>
      <c r="F40" s="328"/>
      <c r="G40" s="329">
        <f>'Tangibles 2'!G35</f>
        <v>760</v>
      </c>
      <c r="H40" s="328"/>
      <c r="I40" s="329">
        <f>'Tangibles 2'!I35</f>
        <v>14700</v>
      </c>
      <c r="J40" s="328"/>
      <c r="K40" s="329">
        <f>'Tangibles 2'!K35</f>
        <v>729</v>
      </c>
      <c r="L40" s="328"/>
      <c r="M40" s="329">
        <f>'Tangibles 2'!M35</f>
        <v>0</v>
      </c>
      <c r="N40" s="328"/>
      <c r="O40" s="329">
        <f>'Tangibles 2'!O35</f>
        <v>2583</v>
      </c>
      <c r="P40" s="328"/>
      <c r="Q40" s="329">
        <f>'Tangibles 2'!Q35</f>
        <v>2120</v>
      </c>
      <c r="R40" s="328"/>
      <c r="S40" s="329">
        <f>SUM(S37:S39)</f>
        <v>122601</v>
      </c>
    </row>
    <row r="41" spans="1:19" s="14" customFormat="1" ht="15.75" thickTop="1">
      <c r="A41" s="29"/>
      <c r="B41" s="13"/>
      <c r="C41" s="122"/>
      <c r="D41" s="122"/>
      <c r="E41" s="122"/>
      <c r="F41" s="122"/>
      <c r="G41" s="122"/>
      <c r="H41" s="122"/>
      <c r="I41" s="122"/>
      <c r="J41" s="122"/>
      <c r="K41" s="122"/>
      <c r="L41" s="122"/>
      <c r="M41" s="122"/>
      <c r="N41" s="122"/>
      <c r="O41" s="122"/>
      <c r="P41" s="122"/>
      <c r="Q41" s="122"/>
      <c r="R41" s="122"/>
      <c r="S41" s="122"/>
    </row>
    <row r="46" spans="1:19">
      <c r="A46" s="335"/>
      <c r="B46" s="182"/>
      <c r="C46" s="182"/>
      <c r="D46" s="182"/>
      <c r="E46" s="182"/>
      <c r="F46" s="182"/>
      <c r="G46" s="182"/>
      <c r="H46" s="182"/>
      <c r="I46" s="182"/>
      <c r="J46" s="182"/>
      <c r="K46" s="182"/>
      <c r="L46" s="182"/>
      <c r="M46" s="182"/>
      <c r="N46" s="182"/>
      <c r="O46" s="182"/>
      <c r="P46" s="182"/>
      <c r="Q46" s="182"/>
      <c r="R46" s="182"/>
      <c r="S46" s="182"/>
    </row>
    <row r="47" spans="1:19">
      <c r="A47" s="335"/>
      <c r="B47" s="182"/>
      <c r="C47" s="182"/>
      <c r="D47" s="182"/>
      <c r="E47" s="182"/>
      <c r="F47" s="182"/>
      <c r="G47" s="182"/>
      <c r="H47" s="182"/>
      <c r="I47" s="182"/>
      <c r="J47" s="182"/>
      <c r="K47" s="182"/>
      <c r="L47" s="182"/>
      <c r="M47" s="182"/>
      <c r="N47" s="182"/>
      <c r="O47" s="182"/>
      <c r="P47" s="182"/>
      <c r="Q47" s="182"/>
      <c r="R47" s="182"/>
      <c r="S47" s="182"/>
    </row>
  </sheetData>
  <pageMargins left="0.35433070866141736" right="0.70866141732283472" top="0.78740157480314965" bottom="0.74803149606299213" header="0.43307086614173229" footer="0.31496062992125984"/>
  <pageSetup paperSize="9" scale="75" orientation="landscape" verticalDpi="200" r:id="rId1"/>
  <headerFooter scaleWithDoc="0">
    <oddHeader>&amp;COxford Health NHS Foundation Trust - Annual Accounts 2012/13</oddHeader>
    <oddFooter>&amp;CPage 25</oddFooter>
    <evenFooter>&amp;CPage 24</evenFooter>
    <firstHeader>&amp;COxford Health NHS Foundation Trust - Annual Accounts 2012/13</firstHeader>
    <firstFooter>&amp;CPage 26</firstFooter>
  </headerFooter>
</worksheet>
</file>

<file path=xl/worksheets/sheet18.xml><?xml version="1.0" encoding="utf-8"?>
<worksheet xmlns="http://schemas.openxmlformats.org/spreadsheetml/2006/main" xmlns:r="http://schemas.openxmlformats.org/officeDocument/2006/relationships">
  <sheetPr>
    <pageSetUpPr fitToPage="1"/>
  </sheetPr>
  <dimension ref="A1:S49"/>
  <sheetViews>
    <sheetView view="pageLayout" topLeftCell="A19" zoomScale="80" zoomScaleNormal="85" zoomScalePageLayoutView="80" workbookViewId="0">
      <selection activeCell="B46" sqref="B46"/>
    </sheetView>
  </sheetViews>
  <sheetFormatPr defaultRowHeight="14.25"/>
  <cols>
    <col min="1" max="1" width="6.42578125" style="20" bestFit="1" customWidth="1"/>
    <col min="2" max="2" width="42.28515625" style="13" customWidth="1"/>
    <col min="3" max="3" width="12.7109375" style="13" customWidth="1"/>
    <col min="4" max="4" width="1.7109375" style="13" customWidth="1"/>
    <col min="5" max="5" width="12.7109375" style="13" customWidth="1"/>
    <col min="6" max="6" width="1.7109375" style="13" customWidth="1"/>
    <col min="7" max="7" width="12.7109375" style="13" customWidth="1"/>
    <col min="8" max="8" width="1.7109375" style="13" customWidth="1"/>
    <col min="9" max="9" width="13.42578125" style="13" customWidth="1"/>
    <col min="10" max="10" width="1.7109375" style="13" customWidth="1"/>
    <col min="11" max="11" width="12.7109375" style="13" customWidth="1"/>
    <col min="12" max="12" width="1.7109375" style="13" customWidth="1"/>
    <col min="13" max="13" width="12.7109375" style="13" customWidth="1"/>
    <col min="14" max="14" width="1.7109375" style="13" customWidth="1"/>
    <col min="15" max="15" width="12.7109375" style="13" customWidth="1"/>
    <col min="16" max="16" width="1.7109375" style="13" customWidth="1"/>
    <col min="17" max="17" width="12.7109375" style="13" customWidth="1"/>
    <col min="18" max="18" width="1.7109375" style="13" customWidth="1"/>
    <col min="19" max="19" width="12.7109375" style="13" customWidth="1"/>
    <col min="20" max="16384" width="9.140625" style="13"/>
  </cols>
  <sheetData>
    <row r="1" spans="1:19">
      <c r="A1" s="58"/>
      <c r="B1" s="19"/>
      <c r="C1" s="19"/>
      <c r="D1" s="19"/>
      <c r="E1" s="19"/>
      <c r="F1" s="19"/>
      <c r="G1" s="19"/>
      <c r="H1" s="19"/>
      <c r="I1" s="19"/>
      <c r="J1" s="19"/>
      <c r="K1" s="19"/>
      <c r="L1" s="19"/>
      <c r="M1" s="19"/>
      <c r="N1" s="19"/>
      <c r="O1" s="19"/>
      <c r="P1" s="19"/>
      <c r="Q1" s="19"/>
      <c r="R1" s="19"/>
      <c r="S1" s="19"/>
    </row>
    <row r="2" spans="1:19" ht="4.5" customHeight="1">
      <c r="A2" s="335"/>
      <c r="B2" s="182"/>
      <c r="C2" s="182"/>
      <c r="D2" s="182"/>
      <c r="E2" s="182"/>
      <c r="F2" s="182"/>
      <c r="G2" s="182"/>
      <c r="H2" s="182"/>
      <c r="I2" s="182"/>
      <c r="J2" s="182"/>
      <c r="K2" s="182"/>
      <c r="L2" s="182"/>
      <c r="M2" s="182"/>
      <c r="N2" s="182"/>
      <c r="O2" s="182"/>
      <c r="P2" s="182"/>
      <c r="Q2" s="182"/>
      <c r="R2" s="182"/>
      <c r="S2" s="182"/>
    </row>
    <row r="3" spans="1:19" ht="4.5" customHeight="1">
      <c r="A3" s="335"/>
      <c r="B3" s="182"/>
      <c r="C3" s="182"/>
      <c r="D3" s="182"/>
      <c r="E3" s="182"/>
      <c r="F3" s="182"/>
      <c r="G3" s="182"/>
      <c r="H3" s="182"/>
      <c r="I3" s="182"/>
      <c r="J3" s="182"/>
      <c r="K3" s="182"/>
      <c r="L3" s="182"/>
      <c r="M3" s="182"/>
      <c r="N3" s="182"/>
      <c r="O3" s="182"/>
      <c r="P3" s="182"/>
      <c r="Q3" s="182"/>
      <c r="R3" s="182"/>
      <c r="S3" s="182"/>
    </row>
    <row r="4" spans="1:19" s="14" customFormat="1" ht="4.5" customHeight="1">
      <c r="A4" s="336"/>
      <c r="B4" s="336"/>
      <c r="C4" s="336"/>
      <c r="D4" s="336"/>
      <c r="E4" s="336"/>
      <c r="F4" s="336"/>
      <c r="G4" s="336"/>
      <c r="H4" s="336"/>
      <c r="I4" s="336"/>
      <c r="J4" s="336"/>
      <c r="K4" s="336"/>
      <c r="L4" s="336"/>
      <c r="M4" s="336"/>
      <c r="N4" s="336"/>
      <c r="O4" s="336"/>
      <c r="P4" s="336"/>
      <c r="Q4" s="336"/>
      <c r="R4" s="336"/>
      <c r="S4" s="336"/>
    </row>
    <row r="5" spans="1:19" ht="15">
      <c r="A5" s="29">
        <v>19.2</v>
      </c>
      <c r="B5" s="14" t="s">
        <v>510</v>
      </c>
    </row>
    <row r="6" spans="1:19" s="325" customFormat="1" ht="82.5" customHeight="1">
      <c r="A6" s="324"/>
      <c r="C6" s="326" t="s">
        <v>462</v>
      </c>
      <c r="D6" s="326"/>
      <c r="E6" s="326" t="s">
        <v>240</v>
      </c>
      <c r="F6" s="326"/>
      <c r="G6" s="326" t="s">
        <v>463</v>
      </c>
      <c r="H6" s="326"/>
      <c r="I6" s="326" t="s">
        <v>464</v>
      </c>
      <c r="K6" s="326" t="s">
        <v>465</v>
      </c>
      <c r="M6" s="326" t="s">
        <v>466</v>
      </c>
      <c r="O6" s="326" t="s">
        <v>467</v>
      </c>
      <c r="Q6" s="326" t="s">
        <v>468</v>
      </c>
      <c r="S6" s="326" t="s">
        <v>53</v>
      </c>
    </row>
    <row r="7" spans="1:19" ht="15">
      <c r="C7" s="264" t="s">
        <v>217</v>
      </c>
      <c r="E7" s="264" t="s">
        <v>217</v>
      </c>
      <c r="G7" s="264" t="s">
        <v>217</v>
      </c>
      <c r="I7" s="264" t="s">
        <v>217</v>
      </c>
      <c r="K7" s="264" t="s">
        <v>217</v>
      </c>
      <c r="M7" s="264" t="s">
        <v>217</v>
      </c>
      <c r="O7" s="264" t="s">
        <v>217</v>
      </c>
      <c r="Q7" s="264" t="s">
        <v>217</v>
      </c>
      <c r="S7" s="264" t="s">
        <v>217</v>
      </c>
    </row>
    <row r="8" spans="1:19" s="14" customFormat="1" ht="15">
      <c r="A8" s="29"/>
      <c r="B8" s="59" t="s">
        <v>636</v>
      </c>
      <c r="C8" s="584">
        <v>43455</v>
      </c>
      <c r="D8" s="333"/>
      <c r="E8" s="584">
        <v>65512</v>
      </c>
      <c r="F8" s="333"/>
      <c r="G8" s="584">
        <v>793</v>
      </c>
      <c r="H8" s="333"/>
      <c r="I8" s="584">
        <v>8021</v>
      </c>
      <c r="J8" s="333"/>
      <c r="K8" s="584">
        <v>1991</v>
      </c>
      <c r="L8" s="333"/>
      <c r="M8" s="584">
        <v>91</v>
      </c>
      <c r="N8" s="333"/>
      <c r="O8" s="584">
        <v>9104</v>
      </c>
      <c r="P8" s="333"/>
      <c r="Q8" s="584">
        <v>4538</v>
      </c>
      <c r="R8" s="333"/>
      <c r="S8" s="327">
        <f>SUM(C8:R8)</f>
        <v>133505</v>
      </c>
    </row>
    <row r="9" spans="1:19">
      <c r="B9" s="266" t="s">
        <v>222</v>
      </c>
      <c r="C9" s="333"/>
      <c r="D9" s="333"/>
      <c r="E9" s="333">
        <v>1451</v>
      </c>
      <c r="F9" s="333"/>
      <c r="G9" s="333"/>
      <c r="H9" s="333"/>
      <c r="I9" s="333">
        <v>10457</v>
      </c>
      <c r="J9" s="333"/>
      <c r="K9" s="333">
        <v>137</v>
      </c>
      <c r="L9" s="333"/>
      <c r="M9" s="333"/>
      <c r="N9" s="333"/>
      <c r="O9" s="333">
        <v>997</v>
      </c>
      <c r="P9" s="333"/>
      <c r="Q9" s="333">
        <v>41</v>
      </c>
      <c r="R9" s="333"/>
      <c r="S9" s="328">
        <f t="shared" ref="S9:S18" si="0">SUM(C9:R9)</f>
        <v>13083</v>
      </c>
    </row>
    <row r="10" spans="1:19">
      <c r="B10" s="266" t="s">
        <v>247</v>
      </c>
      <c r="C10" s="333"/>
      <c r="D10" s="333"/>
      <c r="E10" s="333"/>
      <c r="F10" s="333"/>
      <c r="G10" s="333"/>
      <c r="H10" s="333"/>
      <c r="I10" s="333"/>
      <c r="J10" s="333"/>
      <c r="K10" s="333"/>
      <c r="L10" s="333"/>
      <c r="M10" s="333"/>
      <c r="N10" s="333"/>
      <c r="O10" s="333"/>
      <c r="P10" s="333"/>
      <c r="Q10" s="333"/>
      <c r="R10" s="333"/>
      <c r="S10" s="328">
        <f t="shared" si="0"/>
        <v>0</v>
      </c>
    </row>
    <row r="11" spans="1:19">
      <c r="B11" s="266" t="s">
        <v>223</v>
      </c>
      <c r="C11" s="333"/>
      <c r="D11" s="333"/>
      <c r="E11" s="333"/>
      <c r="F11" s="333"/>
      <c r="G11" s="333"/>
      <c r="H11" s="333"/>
      <c r="I11" s="333"/>
      <c r="J11" s="333"/>
      <c r="K11" s="333"/>
      <c r="L11" s="333"/>
      <c r="M11" s="333"/>
      <c r="N11" s="333"/>
      <c r="O11" s="333"/>
      <c r="P11" s="333"/>
      <c r="Q11" s="333"/>
      <c r="R11" s="333"/>
      <c r="S11" s="328">
        <f t="shared" si="0"/>
        <v>0</v>
      </c>
    </row>
    <row r="12" spans="1:19">
      <c r="B12" s="266" t="s">
        <v>220</v>
      </c>
      <c r="C12" s="333">
        <v>-652</v>
      </c>
      <c r="D12" s="333"/>
      <c r="E12" s="333">
        <v>961</v>
      </c>
      <c r="F12" s="333"/>
      <c r="G12" s="333"/>
      <c r="H12" s="333"/>
      <c r="I12" s="333">
        <v>-361</v>
      </c>
      <c r="J12" s="333"/>
      <c r="K12" s="333">
        <v>52</v>
      </c>
      <c r="L12" s="333"/>
      <c r="M12" s="333"/>
      <c r="N12" s="333"/>
      <c r="O12" s="333"/>
      <c r="P12" s="333"/>
      <c r="Q12" s="333"/>
      <c r="R12" s="333"/>
      <c r="S12" s="328">
        <f t="shared" si="0"/>
        <v>0</v>
      </c>
    </row>
    <row r="13" spans="1:19">
      <c r="B13" s="266" t="s">
        <v>248</v>
      </c>
      <c r="C13" s="333"/>
      <c r="D13" s="333"/>
      <c r="E13" s="333"/>
      <c r="F13" s="333"/>
      <c r="G13" s="333"/>
      <c r="H13" s="333"/>
      <c r="I13" s="333"/>
      <c r="J13" s="333"/>
      <c r="K13" s="333"/>
      <c r="L13" s="333"/>
      <c r="M13" s="333"/>
      <c r="N13" s="333"/>
      <c r="O13" s="333"/>
      <c r="P13" s="333"/>
      <c r="Q13" s="333"/>
      <c r="R13" s="333"/>
      <c r="S13" s="328">
        <f t="shared" si="0"/>
        <v>0</v>
      </c>
    </row>
    <row r="14" spans="1:19">
      <c r="B14" s="266" t="s">
        <v>249</v>
      </c>
      <c r="C14" s="333"/>
      <c r="D14" s="333"/>
      <c r="E14" s="333"/>
      <c r="F14" s="333"/>
      <c r="G14" s="333"/>
      <c r="H14" s="333"/>
      <c r="I14" s="333"/>
      <c r="J14" s="333"/>
      <c r="K14" s="333"/>
      <c r="L14" s="333"/>
      <c r="M14" s="333"/>
      <c r="N14" s="333"/>
      <c r="O14" s="333"/>
      <c r="P14" s="333"/>
      <c r="Q14" s="333"/>
      <c r="R14" s="333"/>
      <c r="S14" s="328">
        <f t="shared" si="0"/>
        <v>0</v>
      </c>
    </row>
    <row r="15" spans="1:19">
      <c r="B15" s="266" t="s">
        <v>218</v>
      </c>
      <c r="C15" s="333"/>
      <c r="D15" s="333"/>
      <c r="E15" s="333"/>
      <c r="F15" s="333"/>
      <c r="G15" s="333"/>
      <c r="H15" s="333"/>
      <c r="I15" s="333"/>
      <c r="J15" s="333"/>
      <c r="K15" s="333"/>
      <c r="L15" s="333"/>
      <c r="M15" s="333"/>
      <c r="N15" s="333"/>
      <c r="O15" s="333"/>
      <c r="P15" s="333"/>
      <c r="Q15" s="333"/>
      <c r="R15" s="333"/>
      <c r="S15" s="328">
        <f t="shared" si="0"/>
        <v>0</v>
      </c>
    </row>
    <row r="16" spans="1:19">
      <c r="B16" s="267" t="s">
        <v>221</v>
      </c>
      <c r="C16" s="333"/>
      <c r="D16" s="333"/>
      <c r="E16" s="333">
        <v>-7424</v>
      </c>
      <c r="F16" s="333"/>
      <c r="G16" s="333">
        <v>-64</v>
      </c>
      <c r="H16" s="333"/>
      <c r="I16" s="333"/>
      <c r="J16" s="333"/>
      <c r="K16" s="333"/>
      <c r="L16" s="333"/>
      <c r="M16" s="333"/>
      <c r="N16" s="333"/>
      <c r="O16" s="333"/>
      <c r="P16" s="333"/>
      <c r="Q16" s="333"/>
      <c r="R16" s="333"/>
      <c r="S16" s="328">
        <f t="shared" si="0"/>
        <v>-7488</v>
      </c>
    </row>
    <row r="17" spans="1:19">
      <c r="B17" s="266" t="s">
        <v>219</v>
      </c>
      <c r="C17" s="333"/>
      <c r="D17" s="333"/>
      <c r="E17" s="333"/>
      <c r="F17" s="333"/>
      <c r="G17" s="333"/>
      <c r="H17" s="333"/>
      <c r="I17" s="333"/>
      <c r="J17" s="333"/>
      <c r="K17" s="333"/>
      <c r="L17" s="333"/>
      <c r="M17" s="333"/>
      <c r="N17" s="333"/>
      <c r="O17" s="333"/>
      <c r="P17" s="333"/>
      <c r="Q17" s="333"/>
      <c r="R17" s="333"/>
      <c r="S17" s="328">
        <f t="shared" si="0"/>
        <v>0</v>
      </c>
    </row>
    <row r="18" spans="1:19">
      <c r="B18" s="266" t="s">
        <v>224</v>
      </c>
      <c r="C18" s="333"/>
      <c r="D18" s="333"/>
      <c r="E18" s="333">
        <v>3344</v>
      </c>
      <c r="F18" s="333"/>
      <c r="G18" s="333">
        <v>40</v>
      </c>
      <c r="H18" s="333"/>
      <c r="I18" s="333"/>
      <c r="J18" s="333"/>
      <c r="K18" s="333"/>
      <c r="L18" s="333"/>
      <c r="M18" s="333"/>
      <c r="N18" s="333"/>
      <c r="O18" s="333"/>
      <c r="P18" s="333"/>
      <c r="Q18" s="333"/>
      <c r="R18" s="333"/>
      <c r="S18" s="328">
        <f t="shared" si="0"/>
        <v>3384</v>
      </c>
    </row>
    <row r="19" spans="1:19" s="14" customFormat="1" ht="15.75" thickBot="1">
      <c r="A19" s="29"/>
      <c r="B19" s="59" t="s">
        <v>637</v>
      </c>
      <c r="C19" s="342">
        <f>SUM(C8:C18)</f>
        <v>42803</v>
      </c>
      <c r="D19" s="333"/>
      <c r="E19" s="342">
        <f>SUM(E8:E18)</f>
        <v>63844</v>
      </c>
      <c r="F19" s="333"/>
      <c r="G19" s="342">
        <f>SUM(G8:G18)</f>
        <v>769</v>
      </c>
      <c r="H19" s="333"/>
      <c r="I19" s="342">
        <f>SUM(I8:I18)</f>
        <v>18117</v>
      </c>
      <c r="J19" s="333"/>
      <c r="K19" s="342">
        <f>SUM(K8:K18)</f>
        <v>2180</v>
      </c>
      <c r="L19" s="333"/>
      <c r="M19" s="342">
        <f>SUM(M8:M18)</f>
        <v>91</v>
      </c>
      <c r="N19" s="333"/>
      <c r="O19" s="342">
        <f>SUM(O8:O18)</f>
        <v>10101</v>
      </c>
      <c r="P19" s="333"/>
      <c r="Q19" s="342">
        <f>SUM(Q8:Q18)</f>
        <v>4579</v>
      </c>
      <c r="R19" s="333"/>
      <c r="S19" s="329">
        <f>SUM(S8:S18)</f>
        <v>142484</v>
      </c>
    </row>
    <row r="20" spans="1:19" ht="15.75" thickTop="1">
      <c r="C20" s="122"/>
      <c r="D20" s="122"/>
      <c r="E20" s="122"/>
      <c r="F20" s="122"/>
      <c r="G20" s="122"/>
      <c r="H20" s="122"/>
      <c r="I20" s="122"/>
      <c r="J20" s="122"/>
      <c r="K20" s="122"/>
      <c r="L20" s="122"/>
      <c r="M20" s="122"/>
      <c r="N20" s="122"/>
      <c r="O20" s="122"/>
      <c r="P20" s="122"/>
      <c r="Q20" s="122"/>
      <c r="R20" s="122"/>
      <c r="S20" s="18"/>
    </row>
    <row r="21" spans="1:19" s="14" customFormat="1" ht="15">
      <c r="A21" s="29"/>
      <c r="B21" s="59" t="s">
        <v>638</v>
      </c>
      <c r="C21" s="585">
        <v>3517</v>
      </c>
      <c r="D21" s="586"/>
      <c r="E21" s="585">
        <v>7344</v>
      </c>
      <c r="F21" s="586"/>
      <c r="G21" s="585">
        <v>52</v>
      </c>
      <c r="H21" s="586"/>
      <c r="I21" s="585">
        <v>0</v>
      </c>
      <c r="J21" s="586"/>
      <c r="K21" s="585">
        <v>1366</v>
      </c>
      <c r="L21" s="586"/>
      <c r="M21" s="585">
        <v>87</v>
      </c>
      <c r="N21" s="586"/>
      <c r="O21" s="585">
        <v>6645</v>
      </c>
      <c r="P21" s="586"/>
      <c r="Q21" s="585">
        <v>2045</v>
      </c>
      <c r="R21" s="586"/>
      <c r="S21" s="330">
        <f>SUM(C21:R21)</f>
        <v>21056</v>
      </c>
    </row>
    <row r="22" spans="1:19" s="557" customFormat="1" ht="12.75">
      <c r="A22" s="224"/>
      <c r="B22" s="266" t="s">
        <v>220</v>
      </c>
      <c r="C22" s="333">
        <v>-653</v>
      </c>
      <c r="D22" s="333"/>
      <c r="E22" s="333">
        <v>653</v>
      </c>
      <c r="F22" s="333"/>
      <c r="G22" s="333"/>
      <c r="H22" s="333"/>
      <c r="I22" s="333"/>
      <c r="J22" s="333"/>
      <c r="K22" s="333"/>
      <c r="L22" s="333"/>
      <c r="M22" s="333"/>
      <c r="N22" s="333"/>
      <c r="O22" s="333"/>
      <c r="P22" s="333"/>
      <c r="Q22" s="333"/>
      <c r="R22" s="333"/>
      <c r="S22" s="328">
        <f t="shared" ref="S22:S28" si="1">SUM(C22:R22)</f>
        <v>0</v>
      </c>
    </row>
    <row r="23" spans="1:19" s="557" customFormat="1" ht="12.75">
      <c r="A23" s="224"/>
      <c r="B23" s="266" t="s">
        <v>248</v>
      </c>
      <c r="C23" s="333"/>
      <c r="D23" s="333"/>
      <c r="E23" s="333"/>
      <c r="F23" s="333"/>
      <c r="G23" s="333"/>
      <c r="H23" s="333"/>
      <c r="I23" s="333"/>
      <c r="J23" s="333"/>
      <c r="K23" s="333"/>
      <c r="L23" s="333"/>
      <c r="M23" s="333"/>
      <c r="N23" s="333"/>
      <c r="O23" s="333"/>
      <c r="P23" s="333"/>
      <c r="Q23" s="333"/>
      <c r="R23" s="333"/>
      <c r="S23" s="328">
        <f t="shared" si="1"/>
        <v>0</v>
      </c>
    </row>
    <row r="24" spans="1:19" s="557" customFormat="1" ht="12.75">
      <c r="A24" s="224"/>
      <c r="B24" s="266" t="s">
        <v>249</v>
      </c>
      <c r="C24" s="333"/>
      <c r="D24" s="333"/>
      <c r="E24" s="333"/>
      <c r="F24" s="333"/>
      <c r="G24" s="333"/>
      <c r="H24" s="333"/>
      <c r="I24" s="333"/>
      <c r="J24" s="333"/>
      <c r="K24" s="333"/>
      <c r="L24" s="333"/>
      <c r="M24" s="333"/>
      <c r="N24" s="333"/>
      <c r="O24" s="333"/>
      <c r="P24" s="333"/>
      <c r="Q24" s="333"/>
      <c r="R24" s="333"/>
      <c r="S24" s="328">
        <f t="shared" si="1"/>
        <v>0</v>
      </c>
    </row>
    <row r="25" spans="1:19" s="557" customFormat="1" ht="12.75">
      <c r="A25" s="224"/>
      <c r="B25" s="267" t="s">
        <v>221</v>
      </c>
      <c r="C25" s="333"/>
      <c r="D25" s="333"/>
      <c r="E25" s="333">
        <v>-7424</v>
      </c>
      <c r="F25" s="333"/>
      <c r="G25" s="333">
        <v>-64</v>
      </c>
      <c r="H25" s="333"/>
      <c r="I25" s="333"/>
      <c r="J25" s="333"/>
      <c r="K25" s="333"/>
      <c r="L25" s="333"/>
      <c r="M25" s="333"/>
      <c r="N25" s="333"/>
      <c r="O25" s="333"/>
      <c r="P25" s="333"/>
      <c r="Q25" s="333"/>
      <c r="R25" s="333"/>
      <c r="S25" s="328">
        <f t="shared" si="1"/>
        <v>-7488</v>
      </c>
    </row>
    <row r="26" spans="1:19" s="557" customFormat="1" ht="12.75">
      <c r="A26" s="224"/>
      <c r="B26" s="266" t="s">
        <v>64</v>
      </c>
      <c r="C26" s="333"/>
      <c r="D26" s="333"/>
      <c r="E26" s="333">
        <v>10</v>
      </c>
      <c r="F26" s="333"/>
      <c r="G26" s="333"/>
      <c r="H26" s="333"/>
      <c r="I26" s="333">
        <v>3417</v>
      </c>
      <c r="J26" s="333"/>
      <c r="K26" s="333"/>
      <c r="L26" s="333"/>
      <c r="M26" s="333"/>
      <c r="N26" s="333"/>
      <c r="O26" s="333"/>
      <c r="P26" s="333"/>
      <c r="Q26" s="333"/>
      <c r="R26" s="333"/>
      <c r="S26" s="328">
        <f t="shared" si="1"/>
        <v>3427</v>
      </c>
    </row>
    <row r="27" spans="1:19" s="557" customFormat="1" ht="12.75">
      <c r="A27" s="224"/>
      <c r="B27" s="266" t="s">
        <v>224</v>
      </c>
      <c r="C27" s="333"/>
      <c r="D27" s="333"/>
      <c r="E27" s="333">
        <v>-235</v>
      </c>
      <c r="F27" s="333"/>
      <c r="G27" s="333"/>
      <c r="H27" s="333"/>
      <c r="I27" s="333"/>
      <c r="J27" s="333"/>
      <c r="K27" s="333"/>
      <c r="L27" s="333"/>
      <c r="M27" s="333"/>
      <c r="N27" s="333"/>
      <c r="O27" s="333"/>
      <c r="P27" s="333"/>
      <c r="Q27" s="333"/>
      <c r="R27" s="333"/>
      <c r="S27" s="328">
        <f t="shared" si="1"/>
        <v>-235</v>
      </c>
    </row>
    <row r="28" spans="1:19" s="557" customFormat="1" ht="12.75">
      <c r="A28" s="224"/>
      <c r="B28" s="266" t="s">
        <v>225</v>
      </c>
      <c r="C28" s="333"/>
      <c r="D28" s="333"/>
      <c r="E28" s="333">
        <v>1726</v>
      </c>
      <c r="F28" s="333"/>
      <c r="G28" s="333">
        <v>22</v>
      </c>
      <c r="H28" s="333"/>
      <c r="I28" s="333"/>
      <c r="J28" s="333"/>
      <c r="K28" s="333">
        <v>85</v>
      </c>
      <c r="L28" s="333"/>
      <c r="M28" s="333">
        <v>4</v>
      </c>
      <c r="N28" s="333"/>
      <c r="O28" s="333">
        <v>873</v>
      </c>
      <c r="P28" s="333"/>
      <c r="Q28" s="333">
        <v>414</v>
      </c>
      <c r="R28" s="333"/>
      <c r="S28" s="328">
        <f t="shared" si="1"/>
        <v>3124</v>
      </c>
    </row>
    <row r="29" spans="1:19" s="14" customFormat="1" ht="15.75" thickBot="1">
      <c r="A29" s="29"/>
      <c r="B29" s="59" t="s">
        <v>639</v>
      </c>
      <c r="C29" s="342">
        <f>SUM(C21:C28)</f>
        <v>2864</v>
      </c>
      <c r="D29" s="333"/>
      <c r="E29" s="342">
        <f>SUM(E21:E28)</f>
        <v>2074</v>
      </c>
      <c r="F29" s="333"/>
      <c r="G29" s="342">
        <f>SUM(G21:G28)</f>
        <v>10</v>
      </c>
      <c r="H29" s="333"/>
      <c r="I29" s="342">
        <f>SUM(I21:I28)</f>
        <v>3417</v>
      </c>
      <c r="J29" s="333"/>
      <c r="K29" s="342">
        <f>SUM(K21:K28)</f>
        <v>1451</v>
      </c>
      <c r="L29" s="333"/>
      <c r="M29" s="342">
        <f>SUM(M21:M28)</f>
        <v>91</v>
      </c>
      <c r="N29" s="333"/>
      <c r="O29" s="342">
        <f>SUM(O21:O28)</f>
        <v>7518</v>
      </c>
      <c r="P29" s="333"/>
      <c r="Q29" s="342">
        <f>SUM(Q21:Q28)</f>
        <v>2459</v>
      </c>
      <c r="R29" s="333"/>
      <c r="S29" s="329">
        <f>SUM(S21:S28)</f>
        <v>19884</v>
      </c>
    </row>
    <row r="30" spans="1:19" ht="15.75" thickTop="1">
      <c r="C30" s="122"/>
      <c r="D30" s="122"/>
      <c r="E30" s="122"/>
      <c r="F30" s="122"/>
      <c r="G30" s="122"/>
      <c r="H30" s="122"/>
      <c r="I30" s="122"/>
      <c r="J30" s="122"/>
      <c r="K30" s="122"/>
      <c r="L30" s="122"/>
      <c r="M30" s="122"/>
      <c r="N30" s="122"/>
      <c r="O30" s="122"/>
      <c r="P30" s="122"/>
      <c r="Q30" s="122"/>
      <c r="R30" s="122"/>
      <c r="S30" s="18"/>
    </row>
    <row r="31" spans="1:19" s="14" customFormat="1" ht="15">
      <c r="A31" s="29"/>
      <c r="B31" s="271" t="s">
        <v>469</v>
      </c>
      <c r="C31" s="122"/>
      <c r="D31" s="122"/>
      <c r="E31" s="122"/>
      <c r="F31" s="122"/>
      <c r="G31" s="122"/>
      <c r="H31" s="122"/>
      <c r="I31" s="122"/>
      <c r="J31" s="122"/>
      <c r="K31" s="122"/>
      <c r="L31" s="122"/>
      <c r="M31" s="122"/>
      <c r="N31" s="122"/>
      <c r="O31" s="122"/>
      <c r="P31" s="122"/>
      <c r="Q31" s="122"/>
      <c r="R31" s="122"/>
      <c r="S31" s="18"/>
    </row>
    <row r="32" spans="1:19" s="557" customFormat="1" ht="12.75">
      <c r="A32" s="224"/>
      <c r="B32" s="332" t="s">
        <v>640</v>
      </c>
      <c r="C32" s="333">
        <v>39939</v>
      </c>
      <c r="D32" s="333"/>
      <c r="E32" s="333">
        <v>52459</v>
      </c>
      <c r="F32" s="333"/>
      <c r="G32" s="333">
        <v>760</v>
      </c>
      <c r="H32" s="333"/>
      <c r="I32" s="333">
        <v>14700</v>
      </c>
      <c r="J32" s="333"/>
      <c r="K32" s="333">
        <v>727</v>
      </c>
      <c r="L32" s="333"/>
      <c r="M32" s="576"/>
      <c r="N32" s="576"/>
      <c r="O32" s="333">
        <v>2583</v>
      </c>
      <c r="P32" s="576"/>
      <c r="Q32" s="333">
        <v>2120</v>
      </c>
      <c r="R32" s="333"/>
      <c r="S32" s="328">
        <f>SUM(C32:R32)</f>
        <v>113288</v>
      </c>
    </row>
    <row r="33" spans="1:19" s="557" customFormat="1" ht="12.75">
      <c r="A33" s="224"/>
      <c r="B33" s="332" t="s">
        <v>641</v>
      </c>
      <c r="C33" s="333"/>
      <c r="D33" s="333"/>
      <c r="E33" s="333">
        <v>8219</v>
      </c>
      <c r="F33" s="333"/>
      <c r="G33" s="333"/>
      <c r="H33" s="333"/>
      <c r="I33" s="333"/>
      <c r="J33" s="333"/>
      <c r="K33" s="333"/>
      <c r="L33" s="333"/>
      <c r="M33" s="333"/>
      <c r="N33" s="333"/>
      <c r="O33" s="333"/>
      <c r="P33" s="333"/>
      <c r="Q33" s="333"/>
      <c r="R33" s="333"/>
      <c r="S33" s="328">
        <f t="shared" ref="S33:S34" si="2">SUM(C33:R33)</f>
        <v>8219</v>
      </c>
    </row>
    <row r="34" spans="1:19" s="557" customFormat="1" ht="12.75">
      <c r="A34" s="224"/>
      <c r="B34" s="332" t="s">
        <v>642</v>
      </c>
      <c r="C34" s="333"/>
      <c r="D34" s="333"/>
      <c r="E34" s="333">
        <v>1092</v>
      </c>
      <c r="F34" s="333"/>
      <c r="G34" s="333"/>
      <c r="H34" s="333"/>
      <c r="I34" s="333"/>
      <c r="J34" s="333"/>
      <c r="K34" s="333">
        <v>2</v>
      </c>
      <c r="L34" s="333"/>
      <c r="M34" s="333"/>
      <c r="N34" s="333"/>
      <c r="O34" s="333"/>
      <c r="P34" s="333"/>
      <c r="Q34" s="333"/>
      <c r="R34" s="333"/>
      <c r="S34" s="328">
        <f t="shared" si="2"/>
        <v>1094</v>
      </c>
    </row>
    <row r="35" spans="1:19" s="14" customFormat="1" ht="15.75" thickBot="1">
      <c r="A35" s="29"/>
      <c r="B35" s="59" t="s">
        <v>643</v>
      </c>
      <c r="C35" s="342">
        <f>SUM(C32:C34)</f>
        <v>39939</v>
      </c>
      <c r="D35" s="333"/>
      <c r="E35" s="342">
        <f>SUM(E32:E34)</f>
        <v>61770</v>
      </c>
      <c r="F35" s="333"/>
      <c r="G35" s="342">
        <f>SUM(G32:G34)</f>
        <v>760</v>
      </c>
      <c r="H35" s="333"/>
      <c r="I35" s="342">
        <f>SUM(I32:I34)</f>
        <v>14700</v>
      </c>
      <c r="J35" s="333"/>
      <c r="K35" s="342">
        <f>SUM(K32:K34)</f>
        <v>729</v>
      </c>
      <c r="L35" s="333"/>
      <c r="M35" s="342">
        <f>SUM(M32:M34)</f>
        <v>0</v>
      </c>
      <c r="N35" s="333"/>
      <c r="O35" s="342">
        <f>SUM(O32:O34)</f>
        <v>2583</v>
      </c>
      <c r="P35" s="333"/>
      <c r="Q35" s="342">
        <f>SUM(Q32:Q34)</f>
        <v>2120</v>
      </c>
      <c r="R35" s="333"/>
      <c r="S35" s="329">
        <f>SUM(S32:S34)</f>
        <v>122601</v>
      </c>
    </row>
    <row r="36" spans="1:19" s="14" customFormat="1" ht="15.75" thickTop="1">
      <c r="A36" s="29"/>
      <c r="B36" s="59"/>
      <c r="C36" s="333"/>
      <c r="D36" s="333"/>
      <c r="E36" s="333"/>
      <c r="F36" s="333"/>
      <c r="G36" s="333"/>
      <c r="H36" s="333"/>
      <c r="I36" s="333"/>
      <c r="J36" s="333"/>
      <c r="K36" s="333"/>
      <c r="L36" s="333"/>
      <c r="M36" s="333"/>
      <c r="N36" s="333"/>
      <c r="O36" s="333"/>
      <c r="P36" s="333"/>
      <c r="Q36" s="333"/>
      <c r="R36" s="333"/>
      <c r="S36" s="328"/>
    </row>
    <row r="37" spans="1:19">
      <c r="B37" s="332" t="s">
        <v>644</v>
      </c>
      <c r="C37" s="333">
        <v>39938</v>
      </c>
      <c r="D37" s="42"/>
      <c r="E37" s="333">
        <v>49764</v>
      </c>
      <c r="F37" s="42"/>
      <c r="G37" s="333">
        <v>741</v>
      </c>
      <c r="H37" s="42"/>
      <c r="I37" s="333">
        <v>8021</v>
      </c>
      <c r="J37" s="42"/>
      <c r="K37" s="333">
        <v>619</v>
      </c>
      <c r="L37" s="42"/>
      <c r="M37" s="333">
        <v>4</v>
      </c>
      <c r="N37" s="42"/>
      <c r="O37" s="333">
        <v>2459</v>
      </c>
      <c r="P37" s="42"/>
      <c r="Q37" s="333">
        <v>2493</v>
      </c>
      <c r="R37" s="42"/>
      <c r="S37" s="328">
        <f>SUM(C37:R37)</f>
        <v>104039</v>
      </c>
    </row>
    <row r="38" spans="1:19" s="240" customFormat="1" ht="12.75">
      <c r="A38" s="334"/>
      <c r="B38" s="332" t="s">
        <v>645</v>
      </c>
      <c r="C38" s="333">
        <v>0</v>
      </c>
      <c r="D38" s="333"/>
      <c r="E38" s="333">
        <v>7432</v>
      </c>
      <c r="F38" s="333"/>
      <c r="G38" s="333">
        <v>0</v>
      </c>
      <c r="H38" s="333"/>
      <c r="I38" s="333">
        <v>0</v>
      </c>
      <c r="J38" s="333"/>
      <c r="K38" s="333">
        <v>0</v>
      </c>
      <c r="L38" s="333"/>
      <c r="M38" s="333">
        <v>0</v>
      </c>
      <c r="N38" s="333"/>
      <c r="O38" s="333">
        <v>0</v>
      </c>
      <c r="P38" s="333"/>
      <c r="Q38" s="333">
        <v>0</v>
      </c>
      <c r="R38" s="333"/>
      <c r="S38" s="328">
        <f t="shared" ref="S38:S39" si="3">SUM(C38:R38)</f>
        <v>7432</v>
      </c>
    </row>
    <row r="39" spans="1:19" s="557" customFormat="1" ht="12.75">
      <c r="A39" s="224"/>
      <c r="B39" s="332" t="s">
        <v>646</v>
      </c>
      <c r="C39" s="333">
        <v>0</v>
      </c>
      <c r="D39" s="333"/>
      <c r="E39" s="333">
        <v>972</v>
      </c>
      <c r="F39" s="333"/>
      <c r="G39" s="333">
        <v>0</v>
      </c>
      <c r="H39" s="333"/>
      <c r="I39" s="333">
        <v>0</v>
      </c>
      <c r="J39" s="333"/>
      <c r="K39" s="333">
        <v>6</v>
      </c>
      <c r="L39" s="333"/>
      <c r="M39" s="333">
        <v>0</v>
      </c>
      <c r="N39" s="333"/>
      <c r="O39" s="333">
        <v>0</v>
      </c>
      <c r="P39" s="333"/>
      <c r="Q39" s="333">
        <v>0</v>
      </c>
      <c r="R39" s="333"/>
      <c r="S39" s="328">
        <f t="shared" si="3"/>
        <v>978</v>
      </c>
    </row>
    <row r="40" spans="1:19" s="576" customFormat="1" ht="15" thickBot="1">
      <c r="A40" s="224"/>
      <c r="B40" s="60" t="s">
        <v>647</v>
      </c>
      <c r="C40" s="342">
        <f>SUM(C37:C39)</f>
        <v>39938</v>
      </c>
      <c r="D40" s="333"/>
      <c r="E40" s="342">
        <f>SUM(E37:E39)</f>
        <v>58168</v>
      </c>
      <c r="F40" s="333"/>
      <c r="G40" s="342">
        <f>SUM(G37:G39)</f>
        <v>741</v>
      </c>
      <c r="H40" s="333"/>
      <c r="I40" s="342">
        <f>SUM(I37:I39)</f>
        <v>8021</v>
      </c>
      <c r="J40" s="333"/>
      <c r="K40" s="342">
        <f t="shared" ref="K40" si="4">SUM(K37:K39)</f>
        <v>625</v>
      </c>
      <c r="L40" s="333"/>
      <c r="M40" s="342">
        <f t="shared" ref="M40" si="5">SUM(M37:M39)</f>
        <v>4</v>
      </c>
      <c r="N40" s="333"/>
      <c r="O40" s="342">
        <f t="shared" ref="O40" si="6">SUM(O37:O39)</f>
        <v>2459</v>
      </c>
      <c r="P40" s="333"/>
      <c r="Q40" s="342">
        <f t="shared" ref="Q40" si="7">SUM(Q37:Q39)</f>
        <v>2493</v>
      </c>
      <c r="R40" s="333"/>
      <c r="S40" s="329">
        <f>SUM(S37:S39)</f>
        <v>112449</v>
      </c>
    </row>
    <row r="41" spans="1:19" ht="15" thickTop="1">
      <c r="A41" s="13"/>
      <c r="C41" s="122"/>
      <c r="D41" s="122"/>
      <c r="E41" s="122"/>
      <c r="F41" s="122"/>
      <c r="G41" s="122"/>
      <c r="H41" s="122"/>
      <c r="I41" s="122"/>
      <c r="J41" s="122"/>
      <c r="K41" s="122"/>
      <c r="L41" s="122"/>
      <c r="M41" s="122"/>
      <c r="N41" s="122"/>
      <c r="O41" s="122"/>
      <c r="P41" s="122"/>
      <c r="Q41" s="122"/>
      <c r="R41" s="122"/>
      <c r="S41" s="122"/>
    </row>
    <row r="42" spans="1:19">
      <c r="A42" s="13"/>
    </row>
    <row r="43" spans="1:19">
      <c r="A43" s="13"/>
    </row>
    <row r="44" spans="1:19">
      <c r="A44" s="13"/>
    </row>
    <row r="45" spans="1:19">
      <c r="A45" s="13"/>
    </row>
    <row r="46" spans="1:19">
      <c r="A46" s="13"/>
    </row>
    <row r="47" spans="1:19">
      <c r="A47" s="13"/>
    </row>
    <row r="48" spans="1:19">
      <c r="A48" s="13"/>
    </row>
    <row r="49" spans="1:1">
      <c r="A49" s="13"/>
    </row>
  </sheetData>
  <pageMargins left="0.7" right="0.7" top="0.8744791666666667" bottom="0.75" header="0.61783854166666663" footer="0.3"/>
  <pageSetup paperSize="9" scale="73" fitToHeight="3" orientation="landscape" verticalDpi="200" r:id="rId1"/>
  <headerFooter scaleWithDoc="0">
    <oddHeader>&amp;COxford Health NHS Foundation Trust - Annual Accounts 2012/13</oddHeader>
    <oddFooter>&amp;CPage 26</oddFooter>
    <evenFooter>&amp;CPage 24</evenFooter>
    <firstHeader>&amp;COxford Health NHS Foundation Trust - Annual Accounts 2011/12</firstHeader>
    <firstFooter>&amp;CPage 25</firstFooter>
  </headerFooter>
</worksheet>
</file>

<file path=xl/worksheets/sheet19.xml><?xml version="1.0" encoding="utf-8"?>
<worksheet xmlns="http://schemas.openxmlformats.org/spreadsheetml/2006/main" xmlns:r="http://schemas.openxmlformats.org/officeDocument/2006/relationships">
  <sheetPr>
    <pageSetUpPr fitToPage="1"/>
  </sheetPr>
  <dimension ref="A1:T38"/>
  <sheetViews>
    <sheetView view="pageLayout" topLeftCell="C13" zoomScale="80" zoomScaleNormal="85" zoomScalePageLayoutView="80" workbookViewId="0">
      <selection activeCell="B46" sqref="B46"/>
    </sheetView>
  </sheetViews>
  <sheetFormatPr defaultRowHeight="14.25"/>
  <cols>
    <col min="1" max="1" width="6.42578125" style="20" bestFit="1" customWidth="1"/>
    <col min="2" max="2" width="37.5703125" style="13" customWidth="1"/>
    <col min="3" max="3" width="1.5703125" style="182" customWidth="1"/>
    <col min="4" max="4" width="12.7109375" style="13" customWidth="1"/>
    <col min="5" max="5" width="1.7109375" style="13" customWidth="1"/>
    <col min="6" max="6" width="12.7109375" style="13" customWidth="1"/>
    <col min="7" max="7" width="1.7109375" style="13" customWidth="1"/>
    <col min="8" max="8" width="12.7109375" style="13" customWidth="1"/>
    <col min="9" max="9" width="1.7109375" style="13" customWidth="1"/>
    <col min="10" max="10" width="16.140625" style="13" customWidth="1"/>
    <col min="11" max="11" width="1.7109375" style="13" customWidth="1"/>
    <col min="12" max="12" width="12.7109375" style="13" customWidth="1"/>
    <col min="13" max="13" width="1.7109375" style="13" customWidth="1"/>
    <col min="14" max="14" width="12.7109375" style="13" customWidth="1"/>
    <col min="15" max="15" width="1.7109375" style="13" customWidth="1"/>
    <col min="16" max="16" width="12.7109375" style="13" customWidth="1"/>
    <col min="17" max="17" width="1.7109375" style="13" customWidth="1"/>
    <col min="18" max="18" width="12.7109375" style="13" customWidth="1"/>
    <col min="19" max="19" width="1.7109375" style="13" customWidth="1"/>
    <col min="20" max="20" width="12.7109375" style="13" customWidth="1"/>
    <col min="21" max="16384" width="9.140625" style="13"/>
  </cols>
  <sheetData>
    <row r="1" spans="1:20">
      <c r="A1" s="58"/>
      <c r="B1" s="19"/>
      <c r="C1" s="19"/>
      <c r="D1" s="19"/>
      <c r="E1" s="19"/>
      <c r="F1" s="19"/>
      <c r="G1" s="19"/>
      <c r="H1" s="19"/>
      <c r="I1" s="19"/>
      <c r="J1" s="19"/>
      <c r="K1" s="19"/>
      <c r="L1" s="19"/>
      <c r="M1" s="19"/>
      <c r="N1" s="19"/>
      <c r="O1" s="19"/>
      <c r="P1" s="19"/>
      <c r="Q1" s="19"/>
      <c r="R1" s="19"/>
      <c r="S1" s="19"/>
      <c r="T1" s="19"/>
    </row>
    <row r="2" spans="1:20" ht="15">
      <c r="A2" s="337">
        <v>19.3</v>
      </c>
      <c r="B2" s="336" t="s">
        <v>756</v>
      </c>
      <c r="C2" s="336"/>
      <c r="D2" s="336"/>
      <c r="E2" s="336"/>
      <c r="F2" s="336"/>
      <c r="G2" s="336"/>
      <c r="H2" s="336"/>
      <c r="I2" s="336"/>
      <c r="J2" s="336"/>
      <c r="K2" s="336"/>
      <c r="L2" s="336"/>
      <c r="M2" s="336"/>
      <c r="N2" s="336"/>
      <c r="O2" s="336"/>
      <c r="P2" s="336"/>
      <c r="Q2" s="336"/>
      <c r="R2" s="336"/>
      <c r="S2" s="336"/>
      <c r="T2" s="336"/>
    </row>
    <row r="3" spans="1:20" ht="51">
      <c r="D3" s="338" t="s">
        <v>239</v>
      </c>
      <c r="E3" s="338"/>
      <c r="F3" s="338" t="s">
        <v>240</v>
      </c>
      <c r="G3" s="338"/>
      <c r="H3" s="338" t="s">
        <v>241</v>
      </c>
      <c r="I3" s="338"/>
      <c r="J3" s="326" t="s">
        <v>242</v>
      </c>
      <c r="K3" s="338"/>
      <c r="L3" s="338" t="s">
        <v>243</v>
      </c>
      <c r="M3" s="338"/>
      <c r="N3" s="338" t="s">
        <v>244</v>
      </c>
      <c r="O3" s="338"/>
      <c r="P3" s="338" t="s">
        <v>245</v>
      </c>
      <c r="Q3" s="338"/>
      <c r="R3" s="338" t="s">
        <v>246</v>
      </c>
      <c r="S3" s="281"/>
      <c r="T3" s="338" t="s">
        <v>53</v>
      </c>
    </row>
    <row r="4" spans="1:20" ht="15">
      <c r="D4" s="264" t="s">
        <v>217</v>
      </c>
      <c r="F4" s="264" t="s">
        <v>217</v>
      </c>
      <c r="H4" s="264" t="s">
        <v>217</v>
      </c>
      <c r="J4" s="264" t="s">
        <v>217</v>
      </c>
      <c r="L4" s="264" t="s">
        <v>217</v>
      </c>
      <c r="N4" s="264" t="s">
        <v>217</v>
      </c>
      <c r="P4" s="264" t="s">
        <v>217</v>
      </c>
      <c r="R4" s="264" t="s">
        <v>217</v>
      </c>
      <c r="T4" s="264" t="s">
        <v>217</v>
      </c>
    </row>
    <row r="5" spans="1:20" ht="15">
      <c r="A5" s="29"/>
      <c r="B5" s="14" t="s">
        <v>250</v>
      </c>
      <c r="C5" s="336"/>
      <c r="D5" s="14"/>
      <c r="E5" s="14"/>
      <c r="F5" s="14"/>
      <c r="G5" s="14"/>
      <c r="H5" s="14"/>
      <c r="I5" s="14"/>
      <c r="J5" s="14"/>
      <c r="K5" s="14"/>
      <c r="L5" s="14"/>
      <c r="M5" s="14"/>
      <c r="N5" s="14"/>
      <c r="O5" s="14"/>
      <c r="P5" s="14"/>
      <c r="Q5" s="14"/>
      <c r="R5" s="14"/>
      <c r="S5" s="14"/>
      <c r="T5" s="14"/>
    </row>
    <row r="6" spans="1:20">
      <c r="A6" s="224"/>
      <c r="B6" s="339" t="str">
        <f>"Protected assets at "&amp;TEXT(This_year_ended,"dd mmmm yyyy")</f>
        <v>Protected assets at 31 March 2013</v>
      </c>
      <c r="C6" s="340"/>
      <c r="D6" s="587">
        <v>38290</v>
      </c>
      <c r="E6" s="376"/>
      <c r="F6" s="376">
        <v>54534</v>
      </c>
      <c r="G6" s="376"/>
      <c r="H6" s="376">
        <v>564.94702000000007</v>
      </c>
      <c r="I6" s="376"/>
      <c r="J6" s="376"/>
      <c r="K6" s="376"/>
      <c r="L6" s="376"/>
      <c r="M6" s="376"/>
      <c r="N6" s="376"/>
      <c r="O6" s="376"/>
      <c r="P6" s="376"/>
      <c r="Q6" s="376"/>
      <c r="R6" s="376"/>
      <c r="S6" s="328"/>
      <c r="T6" s="333">
        <f>SUM(D6:S6)</f>
        <v>93388.947020000007</v>
      </c>
    </row>
    <row r="7" spans="1:20">
      <c r="A7" s="224"/>
      <c r="B7" s="339" t="str">
        <f>"Unprotected assets at "&amp;TEXT(This_year_ended,"dd mmmm yyyy")</f>
        <v>Unprotected assets at 31 March 2013</v>
      </c>
      <c r="C7" s="340"/>
      <c r="D7" s="376">
        <v>1202.0000000000073</v>
      </c>
      <c r="E7" s="376"/>
      <c r="F7" s="376">
        <v>13778</v>
      </c>
      <c r="G7" s="376"/>
      <c r="H7" s="376">
        <v>185.8</v>
      </c>
      <c r="I7" s="376"/>
      <c r="J7" s="376">
        <v>22357.440000000002</v>
      </c>
      <c r="K7" s="376"/>
      <c r="L7" s="376">
        <v>1240.0586300000002</v>
      </c>
      <c r="M7" s="376"/>
      <c r="N7" s="376">
        <v>6.9999999999993179E-2</v>
      </c>
      <c r="O7" s="376"/>
      <c r="P7" s="376">
        <v>2384.0975899999994</v>
      </c>
      <c r="Q7" s="376"/>
      <c r="R7" s="376">
        <v>2354.7198299999991</v>
      </c>
      <c r="S7" s="328"/>
      <c r="T7" s="333">
        <f>SUM(D7:S7)</f>
        <v>43502.186050000004</v>
      </c>
    </row>
    <row r="8" spans="1:20" ht="15" thickBot="1">
      <c r="A8" s="224"/>
      <c r="B8" s="341" t="s">
        <v>816</v>
      </c>
      <c r="C8" s="340"/>
      <c r="D8" s="329">
        <f>SUM(D6:D7)</f>
        <v>39492.000000000007</v>
      </c>
      <c r="E8" s="328"/>
      <c r="F8" s="329">
        <f>SUM(F6:F7)</f>
        <v>68312</v>
      </c>
      <c r="G8" s="328"/>
      <c r="H8" s="329">
        <f>SUM(H6:H7)</f>
        <v>750.74702000000002</v>
      </c>
      <c r="I8" s="328"/>
      <c r="J8" s="329">
        <f>SUM(J6:J7)</f>
        <v>22357.440000000002</v>
      </c>
      <c r="K8" s="328"/>
      <c r="L8" s="329">
        <f>SUM(L6:L7)</f>
        <v>1240.0586300000002</v>
      </c>
      <c r="M8" s="328"/>
      <c r="N8" s="329">
        <f>SUM(N6:N7)</f>
        <v>6.9999999999993179E-2</v>
      </c>
      <c r="O8" s="328"/>
      <c r="P8" s="329">
        <f>SUM(P6:P7)</f>
        <v>2384.0975899999994</v>
      </c>
      <c r="Q8" s="328"/>
      <c r="R8" s="329">
        <f>SUM(R6:R7)</f>
        <v>2354.7198299999991</v>
      </c>
      <c r="S8" s="328"/>
      <c r="T8" s="342">
        <f>SUM(T6:T7)</f>
        <v>136891.13307000001</v>
      </c>
    </row>
    <row r="9" spans="1:20" ht="15" thickTop="1"/>
    <row r="10" spans="1:20">
      <c r="A10" s="224"/>
      <c r="B10" s="339" t="str">
        <f>"Protected assets at "&amp;TEXT(This_year_beginning,"d mmmm yyyy")</f>
        <v>Protected assets at 1 April 2012</v>
      </c>
      <c r="C10" s="340"/>
      <c r="D10" s="333">
        <v>38696</v>
      </c>
      <c r="E10" s="333"/>
      <c r="F10" s="333">
        <v>47339</v>
      </c>
      <c r="G10" s="333"/>
      <c r="H10" s="333">
        <v>565</v>
      </c>
      <c r="I10" s="333"/>
      <c r="J10" s="333">
        <v>0</v>
      </c>
      <c r="K10" s="333"/>
      <c r="L10" s="333">
        <v>0</v>
      </c>
      <c r="M10" s="333"/>
      <c r="N10" s="333">
        <v>0</v>
      </c>
      <c r="O10" s="333"/>
      <c r="P10" s="333">
        <v>0</v>
      </c>
      <c r="Q10" s="333"/>
      <c r="R10" s="333">
        <v>0</v>
      </c>
      <c r="S10" s="333"/>
      <c r="T10" s="333">
        <v>86600</v>
      </c>
    </row>
    <row r="11" spans="1:20">
      <c r="A11" s="224"/>
      <c r="B11" s="339" t="str">
        <f>"Unprotected assets at "&amp;TEXT(This_year_beginning,"d mmmm yyyy")</f>
        <v>Unprotected assets at 1 April 2012</v>
      </c>
      <c r="C11" s="340"/>
      <c r="D11" s="333">
        <v>1243</v>
      </c>
      <c r="E11" s="333"/>
      <c r="F11" s="333">
        <v>14431</v>
      </c>
      <c r="G11" s="333"/>
      <c r="H11" s="333">
        <v>195</v>
      </c>
      <c r="I11" s="333"/>
      <c r="J11" s="333">
        <v>14700</v>
      </c>
      <c r="K11" s="333"/>
      <c r="L11" s="333">
        <v>729</v>
      </c>
      <c r="M11" s="333"/>
      <c r="N11" s="333">
        <v>0</v>
      </c>
      <c r="O11" s="333"/>
      <c r="P11" s="333">
        <v>2583</v>
      </c>
      <c r="Q11" s="333"/>
      <c r="R11" s="333">
        <v>2120</v>
      </c>
      <c r="S11" s="333"/>
      <c r="T11" s="333">
        <v>36001</v>
      </c>
    </row>
    <row r="12" spans="1:20" ht="15" thickBot="1">
      <c r="A12" s="224"/>
      <c r="B12" s="341" t="s">
        <v>648</v>
      </c>
      <c r="C12" s="340"/>
      <c r="D12" s="342">
        <f>SUM(D10:D11)</f>
        <v>39939</v>
      </c>
      <c r="E12" s="333"/>
      <c r="F12" s="342">
        <f>SUM(F10:F11)</f>
        <v>61770</v>
      </c>
      <c r="G12" s="333"/>
      <c r="H12" s="342">
        <v>760</v>
      </c>
      <c r="I12" s="333"/>
      <c r="J12" s="342">
        <f>SUM(J10:J11)</f>
        <v>14700</v>
      </c>
      <c r="K12" s="333"/>
      <c r="L12" s="342">
        <f>SUM(L10:L11)</f>
        <v>729</v>
      </c>
      <c r="M12" s="333"/>
      <c r="N12" s="342">
        <f>SUM(N10:N11)</f>
        <v>0</v>
      </c>
      <c r="O12" s="333"/>
      <c r="P12" s="342">
        <f>SUM(P10:P11)</f>
        <v>2583</v>
      </c>
      <c r="Q12" s="333"/>
      <c r="R12" s="342">
        <f>SUM(R10:R11)</f>
        <v>2120</v>
      </c>
      <c r="S12" s="333"/>
      <c r="T12" s="342">
        <f>SUM(T10:T11)</f>
        <v>122601</v>
      </c>
    </row>
    <row r="13" spans="1:20" ht="15" thickTop="1">
      <c r="A13" s="224"/>
      <c r="B13" s="299"/>
      <c r="C13" s="343"/>
      <c r="D13" s="333"/>
      <c r="E13" s="333"/>
      <c r="F13" s="333"/>
      <c r="G13" s="333"/>
      <c r="H13" s="333"/>
      <c r="I13" s="333"/>
      <c r="J13" s="333"/>
      <c r="K13" s="333"/>
      <c r="L13" s="333"/>
      <c r="M13" s="333"/>
      <c r="N13" s="333"/>
      <c r="O13" s="333"/>
      <c r="P13" s="333"/>
      <c r="Q13" s="333"/>
      <c r="R13" s="333"/>
      <c r="S13" s="333"/>
      <c r="T13" s="333"/>
    </row>
    <row r="15" spans="1:20" ht="15">
      <c r="A15" s="29">
        <v>19.399999999999999</v>
      </c>
      <c r="B15" s="14" t="s">
        <v>757</v>
      </c>
      <c r="C15" s="336"/>
      <c r="D15" s="14"/>
      <c r="E15" s="14"/>
      <c r="F15" s="14"/>
      <c r="G15" s="14"/>
      <c r="H15" s="14"/>
      <c r="I15" s="14"/>
      <c r="J15" s="14"/>
      <c r="K15" s="14"/>
      <c r="L15" s="14"/>
      <c r="M15" s="14"/>
      <c r="N15" s="14"/>
      <c r="O15" s="14"/>
      <c r="P15" s="14"/>
      <c r="Q15" s="14"/>
      <c r="R15" s="14"/>
      <c r="S15" s="14"/>
      <c r="T15" s="14"/>
    </row>
    <row r="16" spans="1:20" ht="57" customHeight="1">
      <c r="D16" s="338" t="s">
        <v>239</v>
      </c>
      <c r="E16" s="338"/>
      <c r="F16" s="338" t="s">
        <v>240</v>
      </c>
      <c r="G16" s="338"/>
      <c r="H16" s="338" t="s">
        <v>241</v>
      </c>
      <c r="I16" s="338"/>
      <c r="J16" s="326" t="s">
        <v>242</v>
      </c>
      <c r="K16" s="338"/>
      <c r="L16" s="338" t="s">
        <v>243</v>
      </c>
      <c r="M16" s="338"/>
      <c r="N16" s="338" t="s">
        <v>244</v>
      </c>
      <c r="O16" s="338"/>
      <c r="P16" s="338" t="s">
        <v>245</v>
      </c>
      <c r="Q16" s="338"/>
      <c r="R16" s="338" t="s">
        <v>246</v>
      </c>
      <c r="S16" s="281"/>
      <c r="T16" s="281"/>
    </row>
    <row r="17" spans="1:20">
      <c r="A17" s="224"/>
      <c r="B17" s="299" t="s">
        <v>758</v>
      </c>
      <c r="C17" s="343"/>
      <c r="D17" s="375"/>
      <c r="E17" s="375"/>
      <c r="F17" s="375">
        <v>1</v>
      </c>
      <c r="G17" s="375"/>
      <c r="H17" s="375">
        <v>1</v>
      </c>
      <c r="I17" s="375"/>
      <c r="J17" s="375"/>
      <c r="K17" s="375"/>
      <c r="L17" s="375">
        <v>5</v>
      </c>
      <c r="M17" s="375"/>
      <c r="N17" s="375">
        <v>7</v>
      </c>
      <c r="O17" s="375"/>
      <c r="P17" s="375">
        <v>5</v>
      </c>
      <c r="Q17" s="375"/>
      <c r="R17" s="375">
        <v>7</v>
      </c>
      <c r="S17" s="515"/>
      <c r="T17" s="299"/>
    </row>
    <row r="18" spans="1:20">
      <c r="A18" s="224"/>
      <c r="B18" s="299" t="s">
        <v>759</v>
      </c>
      <c r="C18" s="343"/>
      <c r="D18" s="375"/>
      <c r="E18" s="375"/>
      <c r="F18" s="375">
        <v>55</v>
      </c>
      <c r="G18" s="375"/>
      <c r="H18" s="375">
        <v>31</v>
      </c>
      <c r="I18" s="375"/>
      <c r="J18" s="375"/>
      <c r="K18" s="375"/>
      <c r="L18" s="375">
        <v>15</v>
      </c>
      <c r="M18" s="375"/>
      <c r="N18" s="375">
        <v>7</v>
      </c>
      <c r="O18" s="375"/>
      <c r="P18" s="375">
        <v>8</v>
      </c>
      <c r="Q18" s="375"/>
      <c r="R18" s="375">
        <v>10</v>
      </c>
      <c r="S18" s="515"/>
      <c r="T18" s="299"/>
    </row>
    <row r="21" spans="1:20" ht="15">
      <c r="A21" s="29">
        <v>19.5</v>
      </c>
      <c r="B21" s="14" t="s">
        <v>760</v>
      </c>
      <c r="C21" s="336"/>
      <c r="D21" s="14"/>
      <c r="E21" s="14"/>
      <c r="F21" s="14"/>
      <c r="G21" s="14"/>
      <c r="H21" s="14"/>
      <c r="I21" s="14"/>
      <c r="J21" s="14"/>
      <c r="K21" s="14"/>
      <c r="L21" s="14"/>
      <c r="M21" s="14"/>
      <c r="N21" s="14"/>
      <c r="O21" s="14"/>
      <c r="P21" s="14"/>
      <c r="Q21" s="14"/>
      <c r="R21" s="14"/>
      <c r="S21" s="14"/>
      <c r="T21" s="14"/>
    </row>
    <row r="22" spans="1:20">
      <c r="B22" s="493" t="s">
        <v>689</v>
      </c>
      <c r="C22" s="343"/>
    </row>
    <row r="23" spans="1:20">
      <c r="B23" s="299" t="s">
        <v>251</v>
      </c>
      <c r="C23" s="343"/>
    </row>
    <row r="24" spans="1:20">
      <c r="C24" s="343"/>
    </row>
    <row r="26" spans="1:20" ht="15">
      <c r="A26" s="29">
        <v>19.600000000000001</v>
      </c>
      <c r="B26" s="14" t="s">
        <v>761</v>
      </c>
      <c r="C26" s="336"/>
      <c r="D26" s="14"/>
      <c r="E26" s="14"/>
      <c r="F26" s="14"/>
      <c r="G26" s="14"/>
      <c r="H26" s="14"/>
      <c r="I26" s="14"/>
      <c r="J26" s="14"/>
      <c r="K26" s="14"/>
      <c r="L26" s="14"/>
      <c r="M26" s="14"/>
      <c r="N26" s="14"/>
      <c r="O26" s="14"/>
      <c r="P26" s="14"/>
      <c r="Q26" s="14"/>
      <c r="R26" s="14"/>
      <c r="S26" s="14"/>
      <c r="T26" s="14"/>
    </row>
    <row r="28" spans="1:20">
      <c r="B28" s="299" t="s">
        <v>762</v>
      </c>
      <c r="C28" s="343"/>
    </row>
    <row r="30" spans="1:20" ht="15">
      <c r="D30" s="120" t="str">
        <f>This_year</f>
        <v>2012/13</v>
      </c>
      <c r="E30" s="121"/>
      <c r="F30" s="121" t="str">
        <f>Last_year</f>
        <v>2011/12</v>
      </c>
    </row>
    <row r="31" spans="1:20" ht="15">
      <c r="D31" s="344" t="s">
        <v>24</v>
      </c>
      <c r="F31" s="260" t="s">
        <v>24</v>
      </c>
    </row>
    <row r="32" spans="1:20">
      <c r="B32" s="217" t="s">
        <v>252</v>
      </c>
      <c r="C32" s="184"/>
      <c r="D32" s="365">
        <v>0</v>
      </c>
      <c r="E32" s="251"/>
      <c r="F32" s="190">
        <v>0</v>
      </c>
    </row>
    <row r="33" spans="2:6">
      <c r="B33" s="217" t="s">
        <v>253</v>
      </c>
      <c r="C33" s="184"/>
      <c r="D33" s="365">
        <v>0</v>
      </c>
      <c r="E33" s="251"/>
      <c r="F33" s="190">
        <v>0</v>
      </c>
    </row>
    <row r="34" spans="2:6">
      <c r="B34" s="217" t="s">
        <v>254</v>
      </c>
      <c r="C34" s="184"/>
      <c r="D34" s="365">
        <v>0</v>
      </c>
      <c r="E34" s="251"/>
      <c r="F34" s="190">
        <v>0</v>
      </c>
    </row>
    <row r="35" spans="2:6">
      <c r="B35" s="217" t="s">
        <v>255</v>
      </c>
      <c r="C35" s="184"/>
      <c r="D35" s="365">
        <v>0</v>
      </c>
      <c r="E35" s="251"/>
      <c r="F35" s="190">
        <v>0</v>
      </c>
    </row>
    <row r="36" spans="2:6" ht="15" thickBot="1">
      <c r="B36" s="299"/>
      <c r="C36" s="343"/>
      <c r="D36" s="262">
        <f>SUM(D32:D35)</f>
        <v>0</v>
      </c>
      <c r="E36" s="251"/>
      <c r="F36" s="263">
        <f>SUM(F32:F35)</f>
        <v>0</v>
      </c>
    </row>
    <row r="37" spans="2:6" ht="15" thickTop="1">
      <c r="B37" s="299"/>
      <c r="C37" s="343"/>
      <c r="D37" s="299"/>
      <c r="E37" s="299"/>
      <c r="F37" s="299"/>
    </row>
    <row r="38" spans="2:6">
      <c r="B38" s="299"/>
      <c r="C38" s="343"/>
      <c r="D38" s="299"/>
      <c r="E38" s="299"/>
      <c r="F38" s="299"/>
    </row>
  </sheetData>
  <pageMargins left="0.7" right="0.7" top="0.76992187499999998" bottom="0.75" header="0.52994791666666663" footer="0.3"/>
  <pageSetup paperSize="9" scale="73" fitToHeight="3" orientation="landscape" verticalDpi="200" r:id="rId1"/>
  <headerFooter scaleWithDoc="0">
    <oddHeader>&amp;COxford Health NHS Foundation Trust - Annual Accounts 2012/13</oddHeader>
    <oddFooter>&amp;CPage 27</oddFooter>
    <evenFooter>&amp;CPage 24</evenFooter>
    <firstHeader>&amp;COxford Health NHS Foundation Trust - Annual Accounts 2011/12</firstHeader>
  </headerFooter>
</worksheet>
</file>

<file path=xl/worksheets/sheet2.xml><?xml version="1.0" encoding="utf-8"?>
<worksheet xmlns="http://schemas.openxmlformats.org/spreadsheetml/2006/main" xmlns:r="http://schemas.openxmlformats.org/officeDocument/2006/relationships">
  <sheetPr codeName="Sheet3">
    <pageSetUpPr fitToPage="1"/>
  </sheetPr>
  <dimension ref="A1:J23"/>
  <sheetViews>
    <sheetView showWhiteSpace="0" view="pageLayout" topLeftCell="A7" zoomScale="80" zoomScaleNormal="85" zoomScalePageLayoutView="80" workbookViewId="0">
      <selection activeCell="B46" sqref="B46"/>
    </sheetView>
  </sheetViews>
  <sheetFormatPr defaultRowHeight="15"/>
  <cols>
    <col min="1" max="8" width="9.140625" style="14"/>
    <col min="9" max="9" width="10.28515625" style="14" customWidth="1"/>
    <col min="10" max="16384" width="9.140625" style="14"/>
  </cols>
  <sheetData>
    <row r="1" spans="1:10" s="173" customFormat="1">
      <c r="J1" s="354"/>
    </row>
    <row r="5" spans="1:10" ht="15.75">
      <c r="A5" s="643" t="s">
        <v>436</v>
      </c>
      <c r="B5" s="643"/>
      <c r="C5" s="643"/>
      <c r="D5" s="643"/>
      <c r="E5" s="643"/>
      <c r="F5" s="643"/>
      <c r="G5" s="643"/>
      <c r="H5" s="643"/>
      <c r="I5" s="643"/>
      <c r="J5" s="643"/>
    </row>
    <row r="7" spans="1:10" ht="15.75">
      <c r="A7" s="643" t="str">
        <f xml:space="preserve"> Trust_name</f>
        <v>Oxford Health NHS Foundation Trust</v>
      </c>
      <c r="B7" s="643"/>
      <c r="C7" s="643"/>
      <c r="D7" s="643"/>
      <c r="E7" s="643"/>
      <c r="F7" s="643"/>
      <c r="G7" s="643"/>
      <c r="H7" s="643"/>
      <c r="I7" s="643"/>
      <c r="J7" s="643"/>
    </row>
    <row r="11" spans="1:10" ht="60.75" customHeight="1">
      <c r="A11" s="642" t="str">
        <f>CONCATENATE("The accounts for the year ended ",TEXT(This_year_ended,"dd mmmm yyyy")," are set out on the following pages and comprise the Statement of Comprehensive Income, the Statement of Financial Position, the Statement of Changes in Taxpayers Equity, the Statement of Cash Flows and the Notes to the Accounts." )</f>
        <v>The accounts for the year ended 31 March 2013 are set out on the following pages and comprise the Statement of Comprehensive Income, the Statement of Financial Position, the Statement of Changes in Taxpayers Equity, the Statement of Cash Flows and the Notes to the Accounts.</v>
      </c>
      <c r="B11" s="642"/>
      <c r="C11" s="642"/>
      <c r="D11" s="642"/>
      <c r="E11" s="642"/>
      <c r="F11" s="642"/>
      <c r="G11" s="642"/>
      <c r="H11" s="642"/>
      <c r="I11" s="642"/>
      <c r="J11" s="642"/>
    </row>
    <row r="12" spans="1:10" ht="15.75">
      <c r="A12" s="352"/>
      <c r="B12" s="352"/>
      <c r="C12" s="352"/>
      <c r="D12" s="352"/>
      <c r="E12" s="352"/>
      <c r="F12" s="352"/>
      <c r="G12" s="352"/>
      <c r="H12" s="352"/>
      <c r="I12" s="352"/>
      <c r="J12" s="352"/>
    </row>
    <row r="13" spans="1:10" ht="119.25" customHeight="1">
      <c r="A13" s="642" t="str">
        <f>CONCATENATE("The accounts have been prepared by ", Trust_name, " in accordance with Schedule 7, Paragraph 24 and 25 of the National Health Service Act 2006 in the form in which Monitor, the Independent Regulator of NHS Foundation Trusts has, with the approval of HM Treasury, directed. The ", This_year, " statutory accounts have been prepared in accordance with International Financial Reporting Standards (IFRS) as adopted by the European Union unless directed otherwise within the NHS Foundation Trust Reporting Manual 2012/13.","  The Trust Board has approved the preparation of the 2012/13 accounts on a going concern basis." )</f>
        <v>The accounts have been prepared by Oxford Health NHS Foundation Trust in accordance with Schedule 7, Paragraph 24 and 25 of the National Health Service Act 2006 in the form in which Monitor, the Independent Regulator of NHS Foundation Trusts has, with the approval of HM Treasury, directed. The 2012/13 statutory accounts have been prepared in accordance with International Financial Reporting Standards (IFRS) as adopted by the European Union unless directed otherwise within the NHS Foundation Trust Reporting Manual 2012/13.  The Trust Board has approved the preparation of the 2012/13 accounts on a going concern basis.</v>
      </c>
      <c r="B13" s="642"/>
      <c r="C13" s="642"/>
      <c r="D13" s="642"/>
      <c r="E13" s="642"/>
      <c r="F13" s="642"/>
      <c r="G13" s="642"/>
      <c r="H13" s="642"/>
      <c r="I13" s="642"/>
      <c r="J13" s="642"/>
    </row>
    <row r="14" spans="1:10" ht="15" customHeight="1">
      <c r="A14" s="352"/>
      <c r="B14" s="352"/>
      <c r="C14" s="352"/>
      <c r="D14" s="352"/>
      <c r="E14" s="352"/>
      <c r="F14" s="352"/>
      <c r="G14" s="352"/>
      <c r="H14" s="352"/>
      <c r="I14" s="352"/>
      <c r="J14" s="352"/>
    </row>
    <row r="15" spans="1:10" ht="44.25" customHeight="1">
      <c r="A15" s="485"/>
      <c r="B15" s="485"/>
      <c r="C15" s="485"/>
      <c r="D15" s="485"/>
      <c r="E15" s="485"/>
      <c r="F15" s="485"/>
      <c r="G15" s="485"/>
      <c r="H15" s="485"/>
      <c r="I15" s="485"/>
      <c r="J15" s="485"/>
    </row>
    <row r="16" spans="1:10" ht="44.25" customHeight="1">
      <c r="A16" s="485"/>
      <c r="B16" s="485"/>
      <c r="C16" s="485"/>
      <c r="D16" s="485"/>
      <c r="E16" s="485"/>
      <c r="F16" s="485"/>
      <c r="G16" s="485"/>
      <c r="H16" s="485"/>
      <c r="I16" s="485"/>
      <c r="J16" s="485"/>
    </row>
    <row r="17" spans="1:10" ht="44.25" customHeight="1">
      <c r="A17" s="485"/>
      <c r="B17" s="485"/>
      <c r="C17" s="485"/>
      <c r="D17" s="485"/>
      <c r="E17" s="485"/>
      <c r="F17" s="485"/>
      <c r="G17" s="485"/>
      <c r="H17" s="485"/>
      <c r="I17" s="485"/>
      <c r="J17" s="485"/>
    </row>
    <row r="18" spans="1:10" ht="15.75">
      <c r="A18" s="353" t="s">
        <v>663</v>
      </c>
      <c r="B18" s="353"/>
      <c r="C18" s="353"/>
      <c r="D18" s="353"/>
      <c r="E18" s="174"/>
      <c r="F18" s="174"/>
      <c r="G18" s="174"/>
      <c r="H18" s="174"/>
      <c r="I18" s="174"/>
      <c r="J18" s="174"/>
    </row>
    <row r="19" spans="1:10" ht="15.75">
      <c r="A19" s="353"/>
      <c r="B19" s="353"/>
      <c r="C19" s="353"/>
      <c r="D19" s="353"/>
      <c r="E19" s="174"/>
      <c r="F19" s="174"/>
      <c r="G19" s="174"/>
      <c r="H19" s="174"/>
      <c r="I19" s="174"/>
      <c r="J19" s="174"/>
    </row>
    <row r="20" spans="1:10" ht="15.75">
      <c r="A20" s="174" t="s">
        <v>662</v>
      </c>
      <c r="B20" s="353"/>
      <c r="C20" s="353"/>
      <c r="D20" s="353"/>
      <c r="E20" s="174"/>
      <c r="F20" s="174"/>
      <c r="G20" s="174"/>
      <c r="H20" s="174"/>
      <c r="I20" s="174"/>
      <c r="J20" s="174"/>
    </row>
    <row r="21" spans="1:10" ht="15.75">
      <c r="B21" s="174"/>
      <c r="C21" s="174"/>
      <c r="D21" s="174"/>
      <c r="E21" s="174"/>
      <c r="F21" s="174"/>
      <c r="G21" s="174"/>
      <c r="H21" s="174"/>
      <c r="I21" s="174"/>
      <c r="J21" s="174"/>
    </row>
    <row r="23" spans="1:10" ht="15.75">
      <c r="A23" s="353" t="s">
        <v>7</v>
      </c>
    </row>
  </sheetData>
  <mergeCells count="4">
    <mergeCell ref="A11:J11"/>
    <mergeCell ref="A7:J7"/>
    <mergeCell ref="A5:J5"/>
    <mergeCell ref="A13:J13"/>
  </mergeCells>
  <pageMargins left="0.63968749999999996" right="0.7" top="0.51041666666666663" bottom="0.75" header="0.3" footer="0.3"/>
  <pageSetup paperSize="9" scale="95" orientation="portrait" verticalDpi="200" r:id="rId1"/>
  <headerFooter scaleWithDoc="0">
    <oddHeader xml:space="preserve">&amp;COxford Health NHS Foundation Trust - Annual Accounts 2012/13
</oddHeader>
    <oddFooter>&amp;CForeword</oddFooter>
  </headerFooter>
</worksheet>
</file>

<file path=xl/worksheets/sheet20.xml><?xml version="1.0" encoding="utf-8"?>
<worksheet xmlns="http://schemas.openxmlformats.org/spreadsheetml/2006/main" xmlns:r="http://schemas.openxmlformats.org/officeDocument/2006/relationships">
  <sheetPr codeName="Sheet19">
    <pageSetUpPr fitToPage="1"/>
  </sheetPr>
  <dimension ref="A1:F39"/>
  <sheetViews>
    <sheetView view="pageLayout" topLeftCell="A37" zoomScale="90" zoomScalePageLayoutView="90" workbookViewId="0">
      <selection activeCell="B46" sqref="B46"/>
    </sheetView>
  </sheetViews>
  <sheetFormatPr defaultRowHeight="15"/>
  <cols>
    <col min="1" max="1" width="5.7109375" style="196" customWidth="1"/>
    <col min="2" max="2" width="59.7109375" style="196" customWidth="1"/>
    <col min="3" max="3" width="15.42578125" style="49" bestFit="1" customWidth="1"/>
    <col min="4" max="4" width="3.7109375" style="49" customWidth="1"/>
    <col min="5" max="5" width="14.85546875" style="49" bestFit="1" customWidth="1"/>
    <col min="6" max="6" width="2.7109375" style="49" customWidth="1"/>
    <col min="7" max="7" width="4.5703125" style="49" customWidth="1"/>
    <col min="8" max="16384" width="9.140625" style="49"/>
  </cols>
  <sheetData>
    <row r="1" spans="1:6">
      <c r="A1" s="206"/>
      <c r="B1" s="206"/>
      <c r="C1" s="50"/>
      <c r="D1" s="50"/>
      <c r="E1" s="50"/>
      <c r="F1" s="50"/>
    </row>
    <row r="2" spans="1:6" s="174" customFormat="1" ht="15.75">
      <c r="A2" s="29">
        <v>20</v>
      </c>
      <c r="B2" s="29" t="s">
        <v>763</v>
      </c>
    </row>
    <row r="3" spans="1:6" ht="6.75" customHeight="1"/>
    <row r="4" spans="1:6" ht="18.75" customHeight="1">
      <c r="B4" s="389"/>
      <c r="C4" s="120" t="str">
        <f>This_year</f>
        <v>2012/13</v>
      </c>
      <c r="D4" s="121"/>
      <c r="E4" s="121" t="str">
        <f>Last_year</f>
        <v>2011/12</v>
      </c>
      <c r="F4" s="377"/>
    </row>
    <row r="5" spans="1:6" ht="18.75" customHeight="1">
      <c r="B5" s="389"/>
      <c r="C5" s="12" t="s">
        <v>24</v>
      </c>
      <c r="D5" s="121"/>
      <c r="E5" s="260" t="s">
        <v>24</v>
      </c>
      <c r="F5" s="377"/>
    </row>
    <row r="6" spans="1:6" ht="18.75" customHeight="1">
      <c r="B6" s="392" t="s">
        <v>768</v>
      </c>
      <c r="D6" s="377"/>
      <c r="E6" s="390"/>
      <c r="F6" s="377"/>
    </row>
    <row r="7" spans="1:6" ht="18.75" customHeight="1">
      <c r="B7" s="392" t="s">
        <v>764</v>
      </c>
      <c r="D7" s="523"/>
      <c r="E7" s="390"/>
      <c r="F7" s="523"/>
    </row>
    <row r="8" spans="1:6" ht="18.75" customHeight="1">
      <c r="B8" s="391" t="s">
        <v>591</v>
      </c>
      <c r="C8" s="475">
        <v>0</v>
      </c>
      <c r="D8" s="377"/>
      <c r="E8" s="475">
        <v>3427</v>
      </c>
      <c r="F8" s="377"/>
    </row>
    <row r="9" spans="1:6" ht="18.75" customHeight="1">
      <c r="B9" s="391" t="s">
        <v>765</v>
      </c>
      <c r="C9" s="476">
        <v>4145.57</v>
      </c>
      <c r="D9" s="377"/>
      <c r="E9" s="476">
        <v>-235</v>
      </c>
      <c r="F9" s="377"/>
    </row>
    <row r="10" spans="1:6" ht="18.75" customHeight="1">
      <c r="B10" s="393" t="s">
        <v>766</v>
      </c>
      <c r="C10" s="476"/>
      <c r="D10" s="523"/>
      <c r="E10" s="476"/>
      <c r="F10" s="523"/>
    </row>
    <row r="11" spans="1:6" ht="18.75" customHeight="1">
      <c r="B11" s="391" t="s">
        <v>767</v>
      </c>
      <c r="C11" s="476">
        <v>6212.66</v>
      </c>
      <c r="D11" s="523"/>
      <c r="E11" s="476">
        <v>0</v>
      </c>
      <c r="F11" s="523"/>
    </row>
    <row r="12" spans="1:6" ht="15.75" thickBot="1">
      <c r="B12" s="393" t="s">
        <v>271</v>
      </c>
      <c r="C12" s="477">
        <f>SUM(C8:C11)</f>
        <v>10358.23</v>
      </c>
      <c r="E12" s="477">
        <v>3192</v>
      </c>
    </row>
    <row r="13" spans="1:6" ht="15.75" thickTop="1">
      <c r="B13" s="509"/>
      <c r="C13" s="388"/>
    </row>
    <row r="14" spans="1:6" s="174" customFormat="1" ht="29.25" customHeight="1">
      <c r="A14" s="196"/>
      <c r="B14" s="674" t="s">
        <v>829</v>
      </c>
      <c r="C14" s="674"/>
      <c r="D14" s="674"/>
      <c r="E14" s="674"/>
      <c r="F14" s="49"/>
    </row>
    <row r="15" spans="1:6" s="174" customFormat="1" ht="4.5" customHeight="1">
      <c r="A15" s="196"/>
      <c r="B15" s="393"/>
      <c r="C15" s="388"/>
      <c r="D15" s="383"/>
      <c r="E15" s="383"/>
      <c r="F15" s="49"/>
    </row>
    <row r="16" spans="1:6" s="174" customFormat="1" ht="39" customHeight="1">
      <c r="A16" s="196"/>
      <c r="B16" s="674" t="s">
        <v>830</v>
      </c>
      <c r="C16" s="674"/>
      <c r="D16" s="674"/>
      <c r="E16" s="674"/>
      <c r="F16" s="49"/>
    </row>
    <row r="17" spans="1:6" s="14" customFormat="1" ht="15.75">
      <c r="A17" s="196"/>
      <c r="B17" s="393"/>
      <c r="C17" s="388"/>
      <c r="D17" s="49"/>
      <c r="E17" s="49"/>
      <c r="F17" s="174"/>
    </row>
    <row r="18" spans="1:6" ht="15.75">
      <c r="A18" s="29">
        <v>21</v>
      </c>
      <c r="B18" s="29" t="s">
        <v>31</v>
      </c>
      <c r="C18" s="14"/>
      <c r="D18" s="14"/>
      <c r="E18" s="14"/>
      <c r="F18" s="174"/>
    </row>
    <row r="19" spans="1:6">
      <c r="A19" s="29"/>
      <c r="B19" s="29"/>
      <c r="C19" s="14"/>
      <c r="D19" s="14"/>
      <c r="E19" s="14"/>
      <c r="F19" s="14"/>
    </row>
    <row r="20" spans="1:6">
      <c r="A20" s="29">
        <v>21.1</v>
      </c>
      <c r="B20" s="29" t="s">
        <v>613</v>
      </c>
      <c r="C20" s="14"/>
      <c r="D20" s="14"/>
      <c r="E20" s="14"/>
    </row>
    <row r="21" spans="1:6">
      <c r="A21" s="273"/>
      <c r="B21" s="20"/>
      <c r="C21" s="59">
        <f>This_year_ended</f>
        <v>41364</v>
      </c>
      <c r="D21" s="60"/>
      <c r="E21" s="60">
        <f>Last_year_ended</f>
        <v>40999</v>
      </c>
    </row>
    <row r="22" spans="1:6">
      <c r="A22" s="273"/>
      <c r="B22" s="20"/>
      <c r="C22" s="12" t="s">
        <v>24</v>
      </c>
      <c r="D22" s="13"/>
      <c r="E22" s="128" t="s">
        <v>24</v>
      </c>
    </row>
    <row r="23" spans="1:6">
      <c r="B23" s="224" t="s">
        <v>229</v>
      </c>
      <c r="C23" s="251">
        <v>1475</v>
      </c>
      <c r="D23" s="251"/>
      <c r="E23" s="190">
        <v>1643</v>
      </c>
    </row>
    <row r="24" spans="1:6">
      <c r="B24" s="224" t="s">
        <v>230</v>
      </c>
      <c r="C24" s="251">
        <f>19-1</f>
        <v>18</v>
      </c>
      <c r="D24" s="251"/>
      <c r="E24" s="190">
        <v>36</v>
      </c>
    </row>
    <row r="25" spans="1:6">
      <c r="B25" s="224" t="s">
        <v>231</v>
      </c>
      <c r="C25" s="251">
        <v>32</v>
      </c>
      <c r="D25" s="251"/>
      <c r="E25" s="190">
        <v>36</v>
      </c>
    </row>
    <row r="26" spans="1:6">
      <c r="B26" s="224" t="s">
        <v>232</v>
      </c>
      <c r="C26" s="251">
        <v>0</v>
      </c>
      <c r="D26" s="251"/>
      <c r="E26" s="190">
        <v>0</v>
      </c>
    </row>
    <row r="27" spans="1:6" s="13" customFormat="1">
      <c r="A27" s="196"/>
      <c r="B27" s="224" t="s">
        <v>233</v>
      </c>
      <c r="C27" s="251">
        <v>30</v>
      </c>
      <c r="D27" s="251"/>
      <c r="E27" s="190">
        <v>25</v>
      </c>
      <c r="F27" s="49"/>
    </row>
    <row r="28" spans="1:6" ht="15.75" thickBot="1">
      <c r="B28" s="224"/>
      <c r="C28" s="262">
        <f>SUM(C23:C27)</f>
        <v>1555</v>
      </c>
      <c r="D28" s="251"/>
      <c r="E28" s="263">
        <f>SUM(E23:E27)</f>
        <v>1740</v>
      </c>
    </row>
    <row r="29" spans="1:6" s="14" customFormat="1" ht="15.75" thickTop="1">
      <c r="A29" s="196"/>
      <c r="B29" s="196"/>
      <c r="C29" s="49"/>
      <c r="D29" s="49"/>
      <c r="E29" s="49"/>
      <c r="F29" s="13"/>
    </row>
    <row r="30" spans="1:6">
      <c r="A30" s="20"/>
      <c r="B30" s="224" t="s">
        <v>444</v>
      </c>
      <c r="C30" s="13"/>
      <c r="D30" s="13"/>
      <c r="E30" s="13"/>
    </row>
    <row r="31" spans="1:6">
      <c r="F31" s="14"/>
    </row>
    <row r="32" spans="1:6">
      <c r="A32" s="29">
        <v>21.2</v>
      </c>
      <c r="B32" s="29" t="s">
        <v>234</v>
      </c>
      <c r="C32" s="14"/>
      <c r="D32" s="14"/>
      <c r="E32" s="14"/>
    </row>
    <row r="33" spans="1:5">
      <c r="A33" s="273"/>
      <c r="B33" s="20"/>
      <c r="C33" s="59">
        <f>This_year_ended</f>
        <v>41364</v>
      </c>
      <c r="D33" s="60"/>
      <c r="E33" s="60">
        <f>Last_year_ended</f>
        <v>40999</v>
      </c>
    </row>
    <row r="34" spans="1:5">
      <c r="A34" s="273"/>
      <c r="B34" s="20"/>
      <c r="C34" s="12" t="s">
        <v>24</v>
      </c>
      <c r="D34" s="13"/>
      <c r="E34" s="128" t="s">
        <v>24</v>
      </c>
    </row>
    <row r="35" spans="1:5">
      <c r="B35" s="224" t="s">
        <v>235</v>
      </c>
      <c r="C35" s="402">
        <v>17879</v>
      </c>
      <c r="D35" s="251"/>
      <c r="E35" s="563">
        <v>19868</v>
      </c>
    </row>
    <row r="36" spans="1:5">
      <c r="B36" s="224" t="s">
        <v>236</v>
      </c>
      <c r="C36" s="402">
        <v>187</v>
      </c>
      <c r="D36" s="251"/>
      <c r="E36" s="563">
        <v>137</v>
      </c>
    </row>
    <row r="37" spans="1:5">
      <c r="B37" s="224" t="s">
        <v>237</v>
      </c>
      <c r="C37" s="402">
        <v>-95</v>
      </c>
      <c r="D37" s="251"/>
      <c r="E37" s="563">
        <v>0</v>
      </c>
    </row>
    <row r="38" spans="1:5" ht="15.75" thickBot="1">
      <c r="B38" s="224"/>
      <c r="C38" s="57">
        <f>SUM(C34:C37)</f>
        <v>17971</v>
      </c>
      <c r="D38" s="44"/>
      <c r="E38" s="45">
        <f>SUM(E35:E37)</f>
        <v>20005</v>
      </c>
    </row>
    <row r="39" spans="1:5" ht="15.75" thickTop="1"/>
  </sheetData>
  <mergeCells count="2">
    <mergeCell ref="B16:E16"/>
    <mergeCell ref="B14:E14"/>
  </mergeCells>
  <pageMargins left="0.7" right="0.7" top="0.52239583333333328" bottom="0.75" header="0.3" footer="0.3"/>
  <pageSetup paperSize="9" scale="85" orientation="portrait" verticalDpi="200" r:id="rId1"/>
  <headerFooter scaleWithDoc="0">
    <oddHeader>&amp;COxford Health NHS Foundation Trust - Annual Accounts 2012/13</oddHeader>
    <oddFooter>&amp;CPage 28</oddFooter>
  </headerFooter>
</worksheet>
</file>

<file path=xl/worksheets/sheet21.xml><?xml version="1.0" encoding="utf-8"?>
<worksheet xmlns="http://schemas.openxmlformats.org/spreadsheetml/2006/main" xmlns:r="http://schemas.openxmlformats.org/officeDocument/2006/relationships">
  <sheetPr codeName="Sheet20">
    <pageSetUpPr fitToPage="1"/>
  </sheetPr>
  <dimension ref="A1:O38"/>
  <sheetViews>
    <sheetView view="pageLayout" topLeftCell="A16" zoomScale="90" zoomScalePageLayoutView="90" workbookViewId="0">
      <selection activeCell="B46" sqref="B46"/>
    </sheetView>
  </sheetViews>
  <sheetFormatPr defaultRowHeight="14.25"/>
  <cols>
    <col min="1" max="1" width="5.5703125" style="20" bestFit="1" customWidth="1"/>
    <col min="2" max="2" width="39.7109375" style="13" customWidth="1"/>
    <col min="3" max="3" width="15.42578125" style="13" customWidth="1"/>
    <col min="4" max="4" width="2" style="13" customWidth="1"/>
    <col min="5" max="5" width="14.85546875" style="13" bestFit="1" customWidth="1"/>
    <col min="6" max="6" width="1.42578125" style="13" customWidth="1"/>
    <col min="7" max="7" width="2.42578125" style="13" customWidth="1"/>
    <col min="8" max="8" width="15.7109375" style="13" customWidth="1"/>
    <col min="9" max="9" width="1" style="13" customWidth="1"/>
    <col min="10" max="10" width="15.7109375" style="13" customWidth="1"/>
    <col min="11" max="11" width="1.42578125" style="13" customWidth="1"/>
    <col min="12" max="12" width="2" style="13" customWidth="1"/>
    <col min="13" max="16384" width="9.140625" style="13"/>
  </cols>
  <sheetData>
    <row r="1" spans="1:15">
      <c r="A1" s="58"/>
      <c r="B1" s="19"/>
      <c r="C1" s="19"/>
      <c r="D1" s="19"/>
      <c r="E1" s="19"/>
      <c r="F1" s="19"/>
      <c r="G1" s="19"/>
      <c r="H1" s="19"/>
      <c r="I1" s="19"/>
      <c r="J1" s="19"/>
      <c r="K1" s="19"/>
      <c r="L1" s="19"/>
      <c r="M1" s="19"/>
      <c r="N1" s="19"/>
      <c r="O1" s="19"/>
    </row>
    <row r="2" spans="1:15" s="174" customFormat="1" ht="15.75">
      <c r="A2" s="29">
        <v>22</v>
      </c>
      <c r="B2" s="14" t="s">
        <v>29</v>
      </c>
      <c r="C2" s="14"/>
      <c r="D2" s="14"/>
      <c r="E2" s="14"/>
      <c r="F2" s="14"/>
      <c r="G2" s="14"/>
      <c r="H2" s="14"/>
      <c r="I2" s="14"/>
      <c r="J2" s="14"/>
    </row>
    <row r="4" spans="1:15" s="14" customFormat="1" ht="15">
      <c r="A4" s="29">
        <v>22.1</v>
      </c>
      <c r="B4" s="14" t="s">
        <v>29</v>
      </c>
      <c r="C4" s="663" t="s">
        <v>256</v>
      </c>
      <c r="D4" s="663"/>
      <c r="E4" s="663"/>
      <c r="F4" s="133"/>
      <c r="H4" s="663" t="s">
        <v>257</v>
      </c>
      <c r="I4" s="663"/>
      <c r="J4" s="663"/>
    </row>
    <row r="5" spans="1:15" s="14" customFormat="1" ht="15">
      <c r="A5" s="29"/>
      <c r="C5" s="59">
        <f>This_year_ended</f>
        <v>41364</v>
      </c>
      <c r="D5" s="59"/>
      <c r="E5" s="60">
        <f>Last_year_ended</f>
        <v>40999</v>
      </c>
      <c r="F5" s="60"/>
      <c r="G5" s="59"/>
      <c r="H5" s="59">
        <f>This_year_ended</f>
        <v>41364</v>
      </c>
      <c r="I5" s="59"/>
      <c r="J5" s="60">
        <f>Last_year_ended</f>
        <v>40999</v>
      </c>
    </row>
    <row r="6" spans="1:15" ht="15">
      <c r="C6" s="12" t="s">
        <v>24</v>
      </c>
      <c r="E6" s="128" t="s">
        <v>24</v>
      </c>
      <c r="F6" s="128"/>
      <c r="H6" s="12" t="s">
        <v>24</v>
      </c>
      <c r="J6" s="128" t="s">
        <v>24</v>
      </c>
    </row>
    <row r="7" spans="1:15">
      <c r="B7" s="274" t="s">
        <v>258</v>
      </c>
      <c r="C7" s="43">
        <v>2265</v>
      </c>
      <c r="D7" s="44"/>
      <c r="E7" s="44">
        <v>2509</v>
      </c>
      <c r="F7" s="44"/>
      <c r="G7" s="44"/>
      <c r="H7" s="43">
        <v>0</v>
      </c>
      <c r="I7" s="44"/>
      <c r="J7" s="43">
        <v>0</v>
      </c>
      <c r="K7" s="44"/>
    </row>
    <row r="8" spans="1:15">
      <c r="B8" s="274" t="s">
        <v>770</v>
      </c>
      <c r="C8" s="43">
        <v>41</v>
      </c>
      <c r="D8" s="44"/>
      <c r="E8" s="44">
        <v>0</v>
      </c>
      <c r="F8" s="44"/>
      <c r="G8" s="44"/>
      <c r="H8" s="43">
        <v>0</v>
      </c>
      <c r="I8" s="44"/>
      <c r="J8" s="43">
        <v>0</v>
      </c>
      <c r="K8" s="44"/>
    </row>
    <row r="9" spans="1:15">
      <c r="B9" s="274" t="s">
        <v>513</v>
      </c>
      <c r="C9" s="43">
        <v>419</v>
      </c>
      <c r="D9" s="44"/>
      <c r="E9" s="44">
        <v>430</v>
      </c>
      <c r="F9" s="44"/>
      <c r="G9" s="44"/>
      <c r="H9" s="43">
        <v>0</v>
      </c>
      <c r="I9" s="44"/>
      <c r="J9" s="43">
        <v>0</v>
      </c>
      <c r="K9" s="44"/>
    </row>
    <row r="10" spans="1:15">
      <c r="B10" s="274" t="s">
        <v>514</v>
      </c>
      <c r="C10" s="43">
        <v>1251</v>
      </c>
      <c r="D10" s="44"/>
      <c r="E10" s="44">
        <v>1275</v>
      </c>
      <c r="F10" s="44"/>
      <c r="G10" s="44"/>
      <c r="H10" s="43">
        <v>30</v>
      </c>
      <c r="I10" s="44"/>
      <c r="J10" s="43">
        <v>30</v>
      </c>
      <c r="K10" s="44"/>
    </row>
    <row r="11" spans="1:15">
      <c r="B11" s="274" t="s">
        <v>259</v>
      </c>
      <c r="C11" s="43">
        <v>377</v>
      </c>
      <c r="D11" s="44"/>
      <c r="E11" s="44">
        <v>351</v>
      </c>
      <c r="F11" s="44"/>
      <c r="G11" s="44"/>
      <c r="H11" s="43">
        <v>0</v>
      </c>
      <c r="I11" s="44"/>
      <c r="J11" s="43">
        <v>0</v>
      </c>
      <c r="K11" s="44"/>
    </row>
    <row r="12" spans="1:15">
      <c r="B12" s="274" t="s">
        <v>260</v>
      </c>
      <c r="C12" s="43">
        <v>2248</v>
      </c>
      <c r="D12" s="44"/>
      <c r="E12" s="44">
        <v>1892</v>
      </c>
      <c r="F12" s="44"/>
      <c r="G12" s="44"/>
      <c r="H12" s="43">
        <v>0</v>
      </c>
      <c r="I12" s="44"/>
      <c r="J12" s="43">
        <v>0</v>
      </c>
      <c r="K12" s="44"/>
    </row>
    <row r="13" spans="1:15">
      <c r="B13" s="116" t="s">
        <v>261</v>
      </c>
      <c r="C13" s="43">
        <v>320</v>
      </c>
      <c r="D13" s="44"/>
      <c r="E13" s="44">
        <v>63</v>
      </c>
      <c r="F13" s="44"/>
      <c r="G13" s="44"/>
      <c r="H13" s="43">
        <v>0</v>
      </c>
      <c r="I13" s="44"/>
      <c r="J13" s="43">
        <v>0</v>
      </c>
      <c r="K13" s="44"/>
    </row>
    <row r="14" spans="1:15">
      <c r="B14" s="274" t="s">
        <v>262</v>
      </c>
      <c r="C14" s="43">
        <v>-280</v>
      </c>
      <c r="D14" s="44"/>
      <c r="E14" s="44">
        <v>-278</v>
      </c>
      <c r="F14" s="44"/>
      <c r="G14" s="44"/>
      <c r="H14" s="43">
        <v>0</v>
      </c>
      <c r="I14" s="44"/>
      <c r="J14" s="43">
        <v>0</v>
      </c>
      <c r="K14" s="44"/>
    </row>
    <row r="15" spans="1:15">
      <c r="B15" s="274" t="s">
        <v>524</v>
      </c>
      <c r="C15" s="43">
        <v>0</v>
      </c>
      <c r="D15" s="44"/>
      <c r="E15" s="44">
        <v>84</v>
      </c>
      <c r="F15" s="44"/>
      <c r="G15" s="44"/>
      <c r="H15" s="43">
        <v>0</v>
      </c>
      <c r="I15" s="44"/>
      <c r="J15" s="43">
        <v>0</v>
      </c>
      <c r="K15" s="44"/>
    </row>
    <row r="16" spans="1:15">
      <c r="B16" s="274" t="s">
        <v>263</v>
      </c>
      <c r="C16" s="43">
        <v>1150</v>
      </c>
      <c r="D16" s="44"/>
      <c r="E16" s="44">
        <v>1365</v>
      </c>
      <c r="F16" s="44"/>
      <c r="G16" s="44"/>
      <c r="H16" s="43">
        <v>0</v>
      </c>
      <c r="I16" s="44"/>
      <c r="J16" s="43">
        <v>0</v>
      </c>
      <c r="K16" s="44"/>
    </row>
    <row r="17" spans="1:11" ht="15" thickBot="1">
      <c r="B17" s="46"/>
      <c r="C17" s="57">
        <f>SUM(C7:C16)</f>
        <v>7791</v>
      </c>
      <c r="D17" s="44"/>
      <c r="E17" s="45">
        <f>SUM(E7:E16)</f>
        <v>7691</v>
      </c>
      <c r="F17" s="44"/>
      <c r="G17" s="44"/>
      <c r="H17" s="57">
        <f>SUM(H7:H16)</f>
        <v>30</v>
      </c>
      <c r="I17" s="44"/>
      <c r="J17" s="57">
        <f>SUM(J7:J16)</f>
        <v>30</v>
      </c>
      <c r="K17" s="44"/>
    </row>
    <row r="18" spans="1:11" ht="15" thickTop="1"/>
    <row r="19" spans="1:11" ht="26.25" customHeight="1">
      <c r="B19" s="664" t="s">
        <v>771</v>
      </c>
      <c r="C19" s="664"/>
      <c r="D19" s="664"/>
      <c r="E19" s="664"/>
      <c r="F19" s="664"/>
      <c r="G19" s="664"/>
      <c r="H19" s="664"/>
      <c r="I19" s="664"/>
      <c r="J19" s="664"/>
      <c r="K19" s="664"/>
    </row>
    <row r="20" spans="1:11" ht="10.5" customHeight="1">
      <c r="B20" s="364"/>
      <c r="C20" s="364"/>
      <c r="D20" s="364"/>
      <c r="E20" s="364"/>
      <c r="F20" s="364"/>
      <c r="G20" s="364"/>
      <c r="H20" s="364"/>
      <c r="I20" s="364"/>
      <c r="J20" s="364"/>
      <c r="K20" s="364"/>
    </row>
    <row r="21" spans="1:11" s="14" customFormat="1" ht="15">
      <c r="A21" s="29">
        <v>22.2</v>
      </c>
      <c r="B21" s="14" t="s">
        <v>772</v>
      </c>
      <c r="C21" s="663" t="s">
        <v>268</v>
      </c>
      <c r="D21" s="663"/>
      <c r="E21" s="663"/>
      <c r="F21" s="663"/>
      <c r="H21" s="504" t="s">
        <v>264</v>
      </c>
      <c r="I21" s="504"/>
      <c r="J21" s="504"/>
      <c r="K21" s="504"/>
    </row>
    <row r="22" spans="1:11" ht="15">
      <c r="C22" s="59">
        <f>This_year_ended</f>
        <v>41364</v>
      </c>
      <c r="D22" s="59"/>
      <c r="E22" s="60">
        <f>Last_year_ended</f>
        <v>40999</v>
      </c>
      <c r="F22" s="60"/>
      <c r="H22" s="59">
        <f>This_year_ended</f>
        <v>41364</v>
      </c>
      <c r="I22" s="59"/>
      <c r="J22" s="60">
        <f>Last_year_ended</f>
        <v>40999</v>
      </c>
      <c r="K22" s="60"/>
    </row>
    <row r="23" spans="1:11" ht="15">
      <c r="C23" s="12" t="s">
        <v>24</v>
      </c>
      <c r="E23" s="128" t="s">
        <v>24</v>
      </c>
      <c r="H23" s="12" t="s">
        <v>24</v>
      </c>
      <c r="J23" s="128" t="s">
        <v>24</v>
      </c>
    </row>
    <row r="24" spans="1:11">
      <c r="B24" s="46" t="s">
        <v>265</v>
      </c>
      <c r="C24" s="43">
        <v>123</v>
      </c>
      <c r="D24" s="43"/>
      <c r="E24" s="44">
        <v>157</v>
      </c>
      <c r="F24" s="43"/>
      <c r="H24" s="43">
        <v>3102</v>
      </c>
      <c r="I24" s="43"/>
      <c r="J24" s="44">
        <v>3401</v>
      </c>
      <c r="K24" s="43"/>
    </row>
    <row r="25" spans="1:11">
      <c r="B25" s="46" t="s">
        <v>266</v>
      </c>
      <c r="C25" s="43">
        <v>141</v>
      </c>
      <c r="D25" s="43"/>
      <c r="E25" s="44">
        <v>107</v>
      </c>
      <c r="F25" s="43"/>
      <c r="H25" s="43">
        <v>38</v>
      </c>
      <c r="I25" s="43"/>
      <c r="J25" s="44">
        <v>77</v>
      </c>
      <c r="K25" s="43"/>
    </row>
    <row r="26" spans="1:11">
      <c r="B26" s="46" t="s">
        <v>267</v>
      </c>
      <c r="C26" s="43">
        <v>172</v>
      </c>
      <c r="D26" s="43"/>
      <c r="E26" s="44">
        <v>152</v>
      </c>
      <c r="F26" s="43"/>
      <c r="H26" s="43">
        <v>19</v>
      </c>
      <c r="I26" s="43"/>
      <c r="J26" s="44">
        <v>5</v>
      </c>
      <c r="K26" s="43"/>
    </row>
    <row r="27" spans="1:11" ht="15" thickBot="1">
      <c r="B27" s="46"/>
      <c r="C27" s="57">
        <f>SUM(C24:C26)</f>
        <v>436</v>
      </c>
      <c r="D27" s="43"/>
      <c r="E27" s="45">
        <f>SUM(E24:E26)</f>
        <v>416</v>
      </c>
      <c r="F27" s="43"/>
      <c r="H27" s="57">
        <f>SUM(H24:H26)</f>
        <v>3159</v>
      </c>
      <c r="I27" s="43"/>
      <c r="J27" s="45">
        <f>SUM(J24:J26)</f>
        <v>3483</v>
      </c>
      <c r="K27" s="43"/>
    </row>
    <row r="28" spans="1:11" ht="15" thickTop="1">
      <c r="B28" s="46"/>
    </row>
    <row r="29" spans="1:11" s="14" customFormat="1" ht="15">
      <c r="A29" s="29">
        <v>22.3</v>
      </c>
      <c r="B29" s="14" t="s">
        <v>269</v>
      </c>
    </row>
    <row r="30" spans="1:11" ht="15">
      <c r="C30" s="277" t="str">
        <f>This_year</f>
        <v>2012/13</v>
      </c>
      <c r="D30" s="277"/>
      <c r="E30" s="278" t="str">
        <f>Last_year</f>
        <v>2011/12</v>
      </c>
      <c r="F30" s="60"/>
    </row>
    <row r="31" spans="1:11" ht="15">
      <c r="C31" s="12" t="s">
        <v>24</v>
      </c>
      <c r="E31" s="128" t="s">
        <v>24</v>
      </c>
      <c r="F31" s="128"/>
    </row>
    <row r="32" spans="1:11" ht="15">
      <c r="B32" s="14" t="str">
        <f xml:space="preserve"> "Balance at " &amp; TEXT(This_year_beginning, "d mmmm ")</f>
        <v xml:space="preserve">Balance at 1 April </v>
      </c>
      <c r="C32" s="275">
        <f>E36</f>
        <v>278</v>
      </c>
      <c r="D32" s="43"/>
      <c r="E32" s="276">
        <v>210</v>
      </c>
      <c r="F32" s="42"/>
    </row>
    <row r="33" spans="2:6">
      <c r="B33" s="46" t="s">
        <v>453</v>
      </c>
      <c r="C33" s="291">
        <v>0</v>
      </c>
      <c r="D33" s="43"/>
      <c r="E33" s="42">
        <v>0</v>
      </c>
      <c r="F33" s="42"/>
    </row>
    <row r="34" spans="2:6">
      <c r="B34" s="46" t="s">
        <v>454</v>
      </c>
      <c r="C34" s="291">
        <v>-196</v>
      </c>
      <c r="D34" s="43"/>
      <c r="E34" s="42">
        <v>-152</v>
      </c>
      <c r="F34" s="42"/>
    </row>
    <row r="35" spans="2:6">
      <c r="B35" s="46" t="s">
        <v>270</v>
      </c>
      <c r="C35" s="43">
        <v>198</v>
      </c>
      <c r="D35" s="43"/>
      <c r="E35" s="44">
        <v>220</v>
      </c>
      <c r="F35" s="44"/>
    </row>
    <row r="36" spans="2:6" ht="15.75" thickBot="1">
      <c r="B36" s="14" t="str">
        <f xml:space="preserve"> "Balance at " &amp; TEXT(This_year_ended, "dd mmmm")</f>
        <v>Balance at 31 March</v>
      </c>
      <c r="C36" s="57">
        <f>SUM(C32:C35)</f>
        <v>280</v>
      </c>
      <c r="D36" s="43"/>
      <c r="E36" s="45">
        <f>SUM(E32:E35)</f>
        <v>278</v>
      </c>
      <c r="F36" s="42"/>
    </row>
    <row r="37" spans="2:6" ht="15" thickTop="1"/>
    <row r="38" spans="2:6">
      <c r="B38" s="46" t="s">
        <v>445</v>
      </c>
    </row>
  </sheetData>
  <mergeCells count="4">
    <mergeCell ref="C4:E4"/>
    <mergeCell ref="H4:J4"/>
    <mergeCell ref="B19:K19"/>
    <mergeCell ref="C21:F21"/>
  </mergeCells>
  <pageMargins left="0.70866141732283472" right="0.70866141732283472" top="0.68437499999999996" bottom="0.74803149606299213" header="0.44864583333333335" footer="0.31496062992125984"/>
  <pageSetup paperSize="9" scale="89" orientation="landscape" verticalDpi="200" r:id="rId1"/>
  <headerFooter scaleWithDoc="0">
    <oddHeader>&amp;COxford Health NHS Foundation Trust - Annual Accounts 2012/13</oddHeader>
    <oddFooter>&amp;CPage 29</oddFooter>
  </headerFooter>
</worksheet>
</file>

<file path=xl/worksheets/sheet22.xml><?xml version="1.0" encoding="utf-8"?>
<worksheet xmlns="http://schemas.openxmlformats.org/spreadsheetml/2006/main" xmlns:r="http://schemas.openxmlformats.org/officeDocument/2006/relationships">
  <sheetPr codeName="Sheet21">
    <pageSetUpPr fitToPage="1"/>
  </sheetPr>
  <dimension ref="A1:O29"/>
  <sheetViews>
    <sheetView view="pageLayout" topLeftCell="B19" zoomScale="80" zoomScalePageLayoutView="80" workbookViewId="0">
      <selection activeCell="B46" sqref="B46"/>
    </sheetView>
  </sheetViews>
  <sheetFormatPr defaultRowHeight="14.25"/>
  <cols>
    <col min="1" max="1" width="5.140625" style="20" bestFit="1" customWidth="1"/>
    <col min="2" max="2" width="55.28515625" style="13" customWidth="1"/>
    <col min="3" max="3" width="14.7109375" style="13" bestFit="1" customWidth="1"/>
    <col min="4" max="4" width="3" style="13" customWidth="1"/>
    <col min="5" max="5" width="12.140625" style="13" customWidth="1"/>
    <col min="6" max="6" width="2.5703125" style="13" customWidth="1"/>
    <col min="7" max="7" width="13.140625" style="13" customWidth="1"/>
    <col min="8" max="8" width="2.7109375" style="13" customWidth="1"/>
    <col min="9" max="9" width="11.5703125" style="13" customWidth="1"/>
    <col min="10" max="10" width="2.5703125" style="13" customWidth="1"/>
    <col min="11" max="11" width="14.7109375" style="13" bestFit="1" customWidth="1"/>
    <col min="12" max="12" width="2.28515625" style="13" customWidth="1"/>
    <col min="13" max="13" width="9.140625" style="13"/>
    <col min="14" max="14" width="2" style="13" customWidth="1"/>
    <col min="15" max="16384" width="9.140625" style="13"/>
  </cols>
  <sheetData>
    <row r="1" spans="1:15">
      <c r="A1" s="58"/>
      <c r="B1" s="19"/>
      <c r="C1" s="19"/>
      <c r="D1" s="19"/>
      <c r="E1" s="19"/>
      <c r="F1" s="19"/>
      <c r="G1" s="19"/>
      <c r="H1" s="19"/>
      <c r="I1" s="19"/>
      <c r="J1" s="19"/>
      <c r="K1" s="19"/>
      <c r="L1" s="19"/>
      <c r="M1" s="19"/>
      <c r="N1" s="19"/>
      <c r="O1" s="19"/>
    </row>
    <row r="2" spans="1:15" s="14" customFormat="1" ht="15">
      <c r="A2" s="29">
        <v>23</v>
      </c>
      <c r="B2" s="14" t="s">
        <v>773</v>
      </c>
    </row>
    <row r="4" spans="1:15" s="14" customFormat="1" ht="15">
      <c r="A4" s="242">
        <v>23.1</v>
      </c>
      <c r="B4" s="14" t="str">
        <f>"Non-current assets held for sale and assets in disposal groups " &amp; This_year</f>
        <v>Non-current assets held for sale and assets in disposal groups 2012/13</v>
      </c>
    </row>
    <row r="5" spans="1:15" s="123" customFormat="1" ht="45">
      <c r="A5" s="287"/>
      <c r="C5" s="48" t="s">
        <v>27</v>
      </c>
      <c r="D5" s="48"/>
      <c r="E5" s="48" t="s">
        <v>238</v>
      </c>
      <c r="F5" s="48"/>
      <c r="G5" s="48" t="s">
        <v>774</v>
      </c>
      <c r="H5" s="48"/>
      <c r="I5" s="48" t="s">
        <v>173</v>
      </c>
      <c r="J5" s="48"/>
      <c r="K5" s="48" t="s">
        <v>271</v>
      </c>
    </row>
    <row r="6" spans="1:15" ht="15">
      <c r="C6" s="345" t="s">
        <v>217</v>
      </c>
      <c r="D6" s="121"/>
      <c r="E6" s="345" t="s">
        <v>217</v>
      </c>
      <c r="F6" s="121"/>
      <c r="G6" s="345" t="s">
        <v>217</v>
      </c>
      <c r="H6" s="121"/>
      <c r="I6" s="345" t="s">
        <v>217</v>
      </c>
      <c r="J6" s="121"/>
      <c r="K6" s="345" t="s">
        <v>217</v>
      </c>
    </row>
    <row r="7" spans="1:15" ht="30">
      <c r="B7" s="123" t="str">
        <f xml:space="preserve"> "NBV of non-current assets for sale and assets in disposal groups at " &amp; TEXT(This_year_beginning, "D MMMM YYYY")</f>
        <v>NBV of non-current assets for sale and assets in disposal groups at 1 April 2012</v>
      </c>
      <c r="C7" s="346">
        <v>0</v>
      </c>
      <c r="D7" s="305"/>
      <c r="E7" s="346">
        <v>6400</v>
      </c>
      <c r="F7" s="305"/>
      <c r="G7" s="346">
        <v>0</v>
      </c>
      <c r="H7" s="305"/>
      <c r="I7" s="346">
        <v>0</v>
      </c>
      <c r="J7" s="305"/>
      <c r="K7" s="346">
        <f>SUM(C7:J7)</f>
        <v>6400</v>
      </c>
    </row>
    <row r="8" spans="1:15">
      <c r="B8" s="290" t="s">
        <v>272</v>
      </c>
      <c r="C8" s="305"/>
      <c r="D8" s="305"/>
      <c r="E8" s="305"/>
      <c r="F8" s="305"/>
      <c r="G8" s="305"/>
      <c r="H8" s="305"/>
      <c r="I8" s="305"/>
      <c r="J8" s="305"/>
      <c r="K8" s="305"/>
    </row>
    <row r="9" spans="1:15">
      <c r="B9" s="290" t="s">
        <v>273</v>
      </c>
      <c r="C9" s="305"/>
      <c r="D9" s="305"/>
      <c r="E9" s="305"/>
      <c r="F9" s="305"/>
      <c r="G9" s="305"/>
      <c r="H9" s="305"/>
      <c r="I9" s="305"/>
      <c r="J9" s="305"/>
      <c r="K9" s="305"/>
    </row>
    <row r="10" spans="1:15">
      <c r="B10" s="290" t="s">
        <v>274</v>
      </c>
      <c r="C10" s="305"/>
      <c r="D10" s="305"/>
      <c r="E10" s="305"/>
      <c r="F10" s="305"/>
      <c r="G10" s="305"/>
      <c r="H10" s="305"/>
      <c r="I10" s="305"/>
      <c r="J10" s="305"/>
      <c r="K10" s="305"/>
    </row>
    <row r="11" spans="1:15">
      <c r="B11" s="290" t="s">
        <v>275</v>
      </c>
      <c r="C11" s="305"/>
      <c r="D11" s="305"/>
      <c r="E11" s="305"/>
      <c r="F11" s="305"/>
      <c r="G11" s="305"/>
      <c r="H11" s="305"/>
      <c r="I11" s="305"/>
      <c r="J11" s="305"/>
      <c r="K11" s="305"/>
    </row>
    <row r="12" spans="1:15" ht="25.5">
      <c r="B12" s="290" t="s">
        <v>276</v>
      </c>
      <c r="C12" s="305"/>
      <c r="D12" s="305"/>
      <c r="E12" s="305"/>
      <c r="F12" s="305"/>
      <c r="G12" s="305"/>
      <c r="H12" s="305"/>
      <c r="I12" s="305"/>
      <c r="J12" s="305"/>
      <c r="K12" s="305"/>
    </row>
    <row r="13" spans="1:15" ht="30.75" thickBot="1">
      <c r="B13" s="123" t="str">
        <f xml:space="preserve"> "NBV of non-current assets for sale and assets in disposal groups at " &amp; TEXT(This_year_ended, "D MMMM YYYY")</f>
        <v>NBV of non-current assets for sale and assets in disposal groups at 31 March 2013</v>
      </c>
      <c r="C13" s="347">
        <f>SUM(C7:C12)</f>
        <v>0</v>
      </c>
      <c r="D13" s="305"/>
      <c r="E13" s="347">
        <f t="shared" ref="E13:K13" si="0">SUM(E7:E12)</f>
        <v>6400</v>
      </c>
      <c r="F13" s="305"/>
      <c r="G13" s="347">
        <f t="shared" si="0"/>
        <v>0</v>
      </c>
      <c r="H13" s="305"/>
      <c r="I13" s="347">
        <f t="shared" si="0"/>
        <v>0</v>
      </c>
      <c r="J13" s="305"/>
      <c r="K13" s="347">
        <f t="shared" si="0"/>
        <v>6400</v>
      </c>
    </row>
    <row r="14" spans="1:15" ht="15" thickTop="1"/>
    <row r="15" spans="1:15">
      <c r="B15" s="348" t="s">
        <v>277</v>
      </c>
    </row>
    <row r="17" spans="1:15" s="14" customFormat="1" ht="15">
      <c r="A17" s="242">
        <v>23.2</v>
      </c>
      <c r="B17" s="14" t="s">
        <v>775</v>
      </c>
    </row>
    <row r="18" spans="1:15" s="14" customFormat="1" ht="75">
      <c r="A18" s="29"/>
      <c r="C18" s="48" t="s">
        <v>239</v>
      </c>
      <c r="D18" s="48"/>
      <c r="E18" s="48" t="s">
        <v>284</v>
      </c>
      <c r="F18" s="48"/>
      <c r="G18" s="48" t="s">
        <v>241</v>
      </c>
      <c r="H18" s="48"/>
      <c r="I18" s="48" t="s">
        <v>278</v>
      </c>
      <c r="J18" s="48"/>
      <c r="K18" s="48" t="s">
        <v>27</v>
      </c>
      <c r="L18" s="48"/>
      <c r="M18" s="48" t="s">
        <v>279</v>
      </c>
      <c r="N18" s="48"/>
      <c r="O18" s="48" t="s">
        <v>53</v>
      </c>
    </row>
    <row r="19" spans="1:15" ht="15">
      <c r="C19" s="345" t="s">
        <v>217</v>
      </c>
      <c r="E19" s="345" t="s">
        <v>217</v>
      </c>
      <c r="G19" s="345" t="s">
        <v>217</v>
      </c>
      <c r="I19" s="345" t="s">
        <v>217</v>
      </c>
      <c r="K19" s="345" t="s">
        <v>217</v>
      </c>
      <c r="M19" s="345" t="s">
        <v>217</v>
      </c>
      <c r="O19" s="345" t="s">
        <v>217</v>
      </c>
    </row>
    <row r="20" spans="1:15" s="14" customFormat="1" ht="15">
      <c r="A20" s="29"/>
      <c r="B20" s="123" t="str">
        <f xml:space="preserve"> "Balance brought forward at " &amp; TEXT(This_year_beginning, "D MMMM YYYY")</f>
        <v>Balance brought forward at 1 April 2012</v>
      </c>
      <c r="C20" s="292">
        <v>4600</v>
      </c>
      <c r="D20" s="43"/>
      <c r="E20" s="292">
        <v>1800</v>
      </c>
      <c r="F20" s="43"/>
      <c r="G20" s="292">
        <v>0</v>
      </c>
      <c r="H20" s="43"/>
      <c r="I20" s="292">
        <v>0</v>
      </c>
      <c r="J20" s="43"/>
      <c r="K20" s="292">
        <v>0</v>
      </c>
      <c r="L20" s="43"/>
      <c r="M20" s="292">
        <v>0</v>
      </c>
      <c r="N20" s="43"/>
      <c r="O20" s="292">
        <f>SUM(C20:N20)</f>
        <v>6400</v>
      </c>
    </row>
    <row r="21" spans="1:15" s="299" customFormat="1" ht="12.75">
      <c r="A21" s="224"/>
      <c r="B21" s="290" t="s">
        <v>280</v>
      </c>
      <c r="C21" s="44"/>
      <c r="D21" s="44"/>
      <c r="E21" s="44"/>
      <c r="F21" s="44"/>
      <c r="G21" s="44"/>
      <c r="H21" s="44"/>
      <c r="I21" s="44"/>
      <c r="J21" s="44"/>
      <c r="K21" s="44"/>
      <c r="L21" s="44"/>
      <c r="M21" s="44"/>
      <c r="N21" s="44"/>
      <c r="O21" s="44"/>
    </row>
    <row r="22" spans="1:15" s="299" customFormat="1" ht="12.75">
      <c r="A22" s="224"/>
      <c r="B22" s="290" t="s">
        <v>281</v>
      </c>
      <c r="C22" s="44"/>
      <c r="D22" s="44"/>
      <c r="E22" s="44"/>
      <c r="F22" s="44"/>
      <c r="G22" s="44"/>
      <c r="H22" s="44"/>
      <c r="I22" s="44"/>
      <c r="J22" s="44"/>
      <c r="K22" s="44"/>
      <c r="L22" s="44"/>
      <c r="M22" s="44"/>
      <c r="N22" s="44"/>
      <c r="O22" s="44"/>
    </row>
    <row r="23" spans="1:15" s="299" customFormat="1" ht="12.75">
      <c r="A23" s="224"/>
      <c r="B23" s="290" t="s">
        <v>282</v>
      </c>
      <c r="C23" s="44"/>
      <c r="D23" s="44"/>
      <c r="E23" s="44"/>
      <c r="F23" s="44"/>
      <c r="G23" s="44"/>
      <c r="H23" s="44"/>
      <c r="I23" s="44"/>
      <c r="J23" s="44"/>
      <c r="K23" s="44"/>
      <c r="L23" s="44"/>
      <c r="M23" s="44"/>
      <c r="N23" s="44"/>
      <c r="O23" s="44"/>
    </row>
    <row r="24" spans="1:15" s="299" customFormat="1" ht="12.75">
      <c r="A24" s="224"/>
      <c r="B24" s="290" t="s">
        <v>283</v>
      </c>
      <c r="C24" s="44"/>
      <c r="D24" s="44"/>
      <c r="E24" s="44"/>
      <c r="F24" s="44"/>
      <c r="G24" s="44"/>
      <c r="H24" s="44"/>
      <c r="I24" s="44"/>
      <c r="J24" s="44"/>
      <c r="K24" s="44"/>
      <c r="L24" s="44"/>
      <c r="M24" s="44"/>
      <c r="N24" s="44"/>
      <c r="O24" s="44"/>
    </row>
    <row r="25" spans="1:15" s="299" customFormat="1" ht="25.5">
      <c r="A25" s="224"/>
      <c r="B25" s="290" t="s">
        <v>276</v>
      </c>
      <c r="C25" s="259"/>
      <c r="D25" s="259"/>
      <c r="E25" s="259"/>
      <c r="F25" s="259"/>
      <c r="G25" s="259"/>
      <c r="H25" s="259"/>
      <c r="I25" s="259"/>
      <c r="J25" s="259"/>
      <c r="K25" s="259"/>
      <c r="L25" s="259"/>
      <c r="M25" s="259"/>
      <c r="N25" s="259"/>
      <c r="O25" s="259"/>
    </row>
    <row r="26" spans="1:15" s="14" customFormat="1" ht="15.75" thickBot="1">
      <c r="A26" s="29"/>
      <c r="B26" s="123" t="str">
        <f xml:space="preserve"> "Balance brought forward at " &amp; TEXT(This_year_ended, "D MMMM YYYY")</f>
        <v>Balance brought forward at 31 March 2013</v>
      </c>
      <c r="C26" s="57">
        <f>SUM(C20:C25)</f>
        <v>4600</v>
      </c>
      <c r="D26" s="43"/>
      <c r="E26" s="57">
        <f>SUM(E20:E25)</f>
        <v>1800</v>
      </c>
      <c r="F26" s="43"/>
      <c r="G26" s="57">
        <f>SUM(G20:G25)</f>
        <v>0</v>
      </c>
      <c r="H26" s="43"/>
      <c r="I26" s="57">
        <f>SUM(I20:I25)</f>
        <v>0</v>
      </c>
      <c r="J26" s="43"/>
      <c r="K26" s="57">
        <f>SUM(K20:K25)</f>
        <v>0</v>
      </c>
      <c r="L26" s="43"/>
      <c r="M26" s="57">
        <f>SUM(M20:M25)</f>
        <v>0</v>
      </c>
      <c r="N26" s="43"/>
      <c r="O26" s="57">
        <f>SUM(O20:O25)</f>
        <v>6400</v>
      </c>
    </row>
    <row r="27" spans="1:15" ht="15" thickTop="1"/>
    <row r="28" spans="1:15" s="299" customFormat="1" ht="57.75" customHeight="1">
      <c r="A28" s="224"/>
      <c r="B28" s="675" t="s">
        <v>873</v>
      </c>
      <c r="C28" s="675"/>
      <c r="D28" s="675"/>
      <c r="E28" s="675"/>
      <c r="F28" s="675"/>
      <c r="G28" s="675"/>
      <c r="H28" s="675"/>
      <c r="I28" s="675"/>
      <c r="J28" s="675"/>
      <c r="K28" s="675"/>
      <c r="L28" s="675"/>
      <c r="M28" s="675"/>
      <c r="N28" s="675"/>
      <c r="O28" s="675"/>
    </row>
    <row r="29" spans="1:15">
      <c r="B29" s="223"/>
      <c r="C29" s="223"/>
      <c r="D29" s="223"/>
      <c r="E29" s="223"/>
      <c r="F29" s="223"/>
      <c r="G29" s="223"/>
      <c r="H29" s="223"/>
      <c r="I29" s="223"/>
      <c r="J29" s="223"/>
      <c r="K29" s="223"/>
      <c r="L29" s="223"/>
      <c r="M29" s="223"/>
      <c r="N29" s="223"/>
      <c r="O29" s="223"/>
    </row>
  </sheetData>
  <mergeCells count="1">
    <mergeCell ref="B28:O28"/>
  </mergeCells>
  <pageMargins left="0.7" right="0.7" top="0.73406249999999995" bottom="0.75" header="0.49781249999999999" footer="0.3"/>
  <pageSetup paperSize="9" scale="81" orientation="landscape" verticalDpi="200" r:id="rId1"/>
  <headerFooter scaleWithDoc="0">
    <oddHeader>&amp;COxford Health NHS Foundation Trust - Annual Accounts 2012/13</oddHeader>
    <oddFooter>&amp;CPage 30</oddFooter>
  </headerFooter>
</worksheet>
</file>

<file path=xl/worksheets/sheet23.xml><?xml version="1.0" encoding="utf-8"?>
<worksheet xmlns="http://schemas.openxmlformats.org/spreadsheetml/2006/main" xmlns:r="http://schemas.openxmlformats.org/officeDocument/2006/relationships">
  <sheetPr codeName="Sheet22">
    <pageSetUpPr fitToPage="1"/>
  </sheetPr>
  <dimension ref="A1:L32"/>
  <sheetViews>
    <sheetView view="pageLayout" topLeftCell="A10" zoomScale="80" zoomScalePageLayoutView="80" workbookViewId="0">
      <selection activeCell="B46" sqref="B46"/>
    </sheetView>
  </sheetViews>
  <sheetFormatPr defaultRowHeight="14.25"/>
  <cols>
    <col min="1" max="1" width="3.7109375" style="20" customWidth="1"/>
    <col min="2" max="2" width="38.7109375" style="13" customWidth="1"/>
    <col min="3" max="3" width="17" style="13" customWidth="1"/>
    <col min="4" max="4" width="1.140625" style="13" customWidth="1"/>
    <col min="5" max="5" width="16.28515625" style="13" customWidth="1"/>
    <col min="6" max="6" width="1.28515625" style="13" customWidth="1"/>
    <col min="7" max="7" width="16.5703125" style="13" customWidth="1"/>
    <col min="8" max="8" width="1.7109375" style="13" customWidth="1"/>
    <col min="9" max="9" width="16.5703125" style="13" customWidth="1"/>
    <col min="10" max="10" width="2" style="13" customWidth="1"/>
    <col min="11" max="16384" width="9.140625" style="13"/>
  </cols>
  <sheetData>
    <row r="1" spans="1:12">
      <c r="A1" s="58"/>
      <c r="B1" s="19"/>
      <c r="C1" s="19"/>
      <c r="D1" s="19"/>
      <c r="E1" s="19"/>
      <c r="F1" s="19"/>
      <c r="G1" s="19"/>
      <c r="H1" s="19"/>
      <c r="I1" s="19"/>
      <c r="J1" s="19"/>
      <c r="K1" s="19"/>
      <c r="L1" s="19"/>
    </row>
    <row r="2" spans="1:12" s="174" customFormat="1" ht="15.75">
      <c r="A2" s="29">
        <v>24</v>
      </c>
      <c r="B2" s="14" t="s">
        <v>285</v>
      </c>
      <c r="C2" s="14"/>
      <c r="D2" s="14"/>
      <c r="E2" s="14"/>
      <c r="F2" s="14"/>
      <c r="G2" s="14"/>
      <c r="H2" s="14"/>
      <c r="I2" s="14"/>
    </row>
    <row r="3" spans="1:12" s="14" customFormat="1" ht="15">
      <c r="A3" s="29"/>
      <c r="C3" s="663" t="s">
        <v>256</v>
      </c>
      <c r="D3" s="663"/>
      <c r="E3" s="663"/>
      <c r="F3" s="663"/>
      <c r="G3" s="663" t="s">
        <v>257</v>
      </c>
      <c r="H3" s="663"/>
      <c r="I3" s="663"/>
      <c r="J3" s="663"/>
    </row>
    <row r="4" spans="1:12" ht="15">
      <c r="C4" s="59">
        <f>This_year_ended</f>
        <v>41364</v>
      </c>
      <c r="D4" s="60"/>
      <c r="E4" s="60">
        <f>Last_year_ended</f>
        <v>40999</v>
      </c>
      <c r="F4" s="60"/>
      <c r="G4" s="59">
        <f>This_year_ended</f>
        <v>41364</v>
      </c>
      <c r="H4" s="60"/>
      <c r="I4" s="60">
        <f>Last_year_ended</f>
        <v>40999</v>
      </c>
    </row>
    <row r="5" spans="1:12" ht="15">
      <c r="C5" s="12" t="s">
        <v>24</v>
      </c>
      <c r="E5" s="128" t="s">
        <v>24</v>
      </c>
      <c r="G5" s="12" t="s">
        <v>24</v>
      </c>
      <c r="I5" s="128" t="s">
        <v>24</v>
      </c>
    </row>
    <row r="6" spans="1:12">
      <c r="B6" s="46" t="s">
        <v>505</v>
      </c>
      <c r="C6" s="43">
        <v>810</v>
      </c>
      <c r="D6" s="43"/>
      <c r="E6" s="44">
        <v>362</v>
      </c>
      <c r="F6" s="43"/>
      <c r="G6" s="43">
        <v>0</v>
      </c>
      <c r="H6" s="44"/>
      <c r="I6" s="44">
        <v>0</v>
      </c>
      <c r="J6" s="46"/>
    </row>
    <row r="7" spans="1:12">
      <c r="B7" s="368" t="s">
        <v>525</v>
      </c>
      <c r="C7" s="43">
        <v>0</v>
      </c>
      <c r="D7" s="43"/>
      <c r="E7" s="44">
        <v>102</v>
      </c>
      <c r="F7" s="43"/>
      <c r="G7" s="43">
        <v>0</v>
      </c>
      <c r="H7" s="44"/>
      <c r="I7" s="44">
        <v>0</v>
      </c>
      <c r="J7" s="368"/>
    </row>
    <row r="8" spans="1:12">
      <c r="B8" s="46" t="s">
        <v>506</v>
      </c>
      <c r="C8" s="43">
        <v>2241</v>
      </c>
      <c r="D8" s="43"/>
      <c r="E8" s="44">
        <v>2681</v>
      </c>
      <c r="F8" s="43"/>
      <c r="G8" s="43">
        <v>0</v>
      </c>
      <c r="H8" s="44"/>
      <c r="I8" s="44">
        <v>0</v>
      </c>
      <c r="J8" s="46"/>
    </row>
    <row r="9" spans="1:12">
      <c r="B9" s="46" t="s">
        <v>286</v>
      </c>
      <c r="C9" s="43">
        <v>2392</v>
      </c>
      <c r="D9" s="43"/>
      <c r="E9" s="44">
        <v>1883</v>
      </c>
      <c r="F9" s="43"/>
      <c r="G9" s="43">
        <v>0</v>
      </c>
      <c r="H9" s="44"/>
      <c r="I9" s="44">
        <v>0</v>
      </c>
      <c r="J9" s="46"/>
    </row>
    <row r="10" spans="1:12">
      <c r="B10" s="46" t="s">
        <v>287</v>
      </c>
      <c r="C10" s="43">
        <v>232</v>
      </c>
      <c r="D10" s="43"/>
      <c r="E10" s="44">
        <v>452</v>
      </c>
      <c r="F10" s="43"/>
      <c r="G10" s="43">
        <v>0</v>
      </c>
      <c r="H10" s="44"/>
      <c r="I10" s="44">
        <v>0</v>
      </c>
      <c r="J10" s="46"/>
    </row>
    <row r="11" spans="1:12">
      <c r="B11" s="46" t="s">
        <v>288</v>
      </c>
      <c r="C11" s="43">
        <f>1850+1874</f>
        <v>3724</v>
      </c>
      <c r="D11" s="43"/>
      <c r="E11" s="44">
        <v>3606</v>
      </c>
      <c r="F11" s="43"/>
      <c r="G11" s="43">
        <v>0</v>
      </c>
      <c r="H11" s="44"/>
      <c r="I11" s="44">
        <v>0</v>
      </c>
      <c r="J11" s="46"/>
    </row>
    <row r="12" spans="1:12">
      <c r="B12" s="46" t="s">
        <v>869</v>
      </c>
      <c r="C12" s="43">
        <v>15422</v>
      </c>
      <c r="D12" s="43"/>
      <c r="E12" s="44">
        <v>12473</v>
      </c>
      <c r="F12" s="43"/>
      <c r="G12" s="43">
        <v>0</v>
      </c>
      <c r="H12" s="44"/>
      <c r="I12" s="44">
        <v>0</v>
      </c>
      <c r="J12" s="46"/>
    </row>
    <row r="13" spans="1:12">
      <c r="B13" s="46" t="s">
        <v>504</v>
      </c>
      <c r="C13" s="43">
        <v>1039</v>
      </c>
      <c r="D13" s="43"/>
      <c r="E13" s="44">
        <v>325</v>
      </c>
      <c r="F13" s="43"/>
      <c r="G13" s="43">
        <v>0</v>
      </c>
      <c r="H13" s="44"/>
      <c r="I13" s="44">
        <v>0</v>
      </c>
      <c r="J13" s="46"/>
    </row>
    <row r="14" spans="1:12">
      <c r="B14" s="46" t="s">
        <v>173</v>
      </c>
      <c r="C14" s="43">
        <v>4</v>
      </c>
      <c r="D14" s="43"/>
      <c r="E14" s="44">
        <v>23</v>
      </c>
      <c r="F14" s="43"/>
      <c r="G14" s="43">
        <v>0</v>
      </c>
      <c r="H14" s="44"/>
      <c r="I14" s="44">
        <v>0</v>
      </c>
      <c r="J14" s="46"/>
    </row>
    <row r="15" spans="1:12" ht="15" thickBot="1">
      <c r="B15" s="46"/>
      <c r="C15" s="57">
        <f>SUM(C6:C14)</f>
        <v>25864</v>
      </c>
      <c r="D15" s="43"/>
      <c r="E15" s="45">
        <f>SUM(E6:E14)</f>
        <v>21907</v>
      </c>
      <c r="F15" s="43"/>
      <c r="G15" s="45">
        <f t="shared" ref="G15" si="0">SUM(G6:G14)</f>
        <v>0</v>
      </c>
      <c r="H15" s="42"/>
      <c r="I15" s="45">
        <f>SUM(I6:I14)</f>
        <v>0</v>
      </c>
      <c r="J15" s="46"/>
    </row>
    <row r="16" spans="1:12" ht="10.5" customHeight="1" thickTop="1">
      <c r="B16" s="46"/>
      <c r="C16" s="46"/>
      <c r="D16" s="46"/>
      <c r="E16" s="46"/>
      <c r="F16" s="46"/>
      <c r="G16" s="46"/>
      <c r="H16" s="46"/>
      <c r="I16" s="46"/>
      <c r="J16" s="46"/>
    </row>
    <row r="17" spans="1:12" s="620" customFormat="1" ht="14.25" customHeight="1">
      <c r="B17" s="676" t="s">
        <v>875</v>
      </c>
      <c r="C17" s="676"/>
      <c r="D17" s="676"/>
      <c r="E17" s="676"/>
      <c r="F17" s="676"/>
      <c r="G17" s="676"/>
      <c r="H17" s="676"/>
      <c r="I17" s="676"/>
      <c r="J17" s="676"/>
      <c r="K17" s="676"/>
      <c r="L17" s="676"/>
    </row>
    <row r="18" spans="1:12" s="385" customFormat="1" ht="15" customHeight="1">
      <c r="A18" s="421"/>
      <c r="B18" s="612"/>
      <c r="C18" s="612"/>
      <c r="D18" s="612"/>
      <c r="E18" s="612"/>
      <c r="F18" s="612"/>
      <c r="G18" s="612"/>
      <c r="H18" s="612"/>
      <c r="I18" s="612"/>
      <c r="J18" s="612"/>
      <c r="K18" s="612"/>
      <c r="L18" s="612"/>
    </row>
    <row r="19" spans="1:12" s="385" customFormat="1" ht="15">
      <c r="A19" s="619">
        <v>25</v>
      </c>
      <c r="B19" s="466" t="s">
        <v>36</v>
      </c>
      <c r="C19" s="677" t="s">
        <v>256</v>
      </c>
      <c r="D19" s="677"/>
      <c r="E19" s="677"/>
      <c r="F19" s="466"/>
      <c r="G19" s="677" t="s">
        <v>257</v>
      </c>
      <c r="H19" s="677"/>
      <c r="I19" s="677"/>
      <c r="J19" s="612"/>
      <c r="K19" s="612"/>
      <c r="L19" s="612"/>
    </row>
    <row r="20" spans="1:12" s="385" customFormat="1">
      <c r="A20" s="421"/>
      <c r="B20" s="612"/>
      <c r="C20" s="621">
        <f>This_year_ended</f>
        <v>41364</v>
      </c>
      <c r="D20" s="622"/>
      <c r="E20" s="622">
        <f>Last_year_ended</f>
        <v>40999</v>
      </c>
      <c r="F20" s="622"/>
      <c r="G20" s="621">
        <f>This_year_ended</f>
        <v>41364</v>
      </c>
      <c r="H20" s="622"/>
      <c r="I20" s="622">
        <f>Last_year_ended</f>
        <v>40999</v>
      </c>
      <c r="J20" s="612"/>
      <c r="K20" s="612"/>
      <c r="L20" s="612"/>
    </row>
    <row r="21" spans="1:12" ht="15">
      <c r="C21" s="12" t="s">
        <v>24</v>
      </c>
      <c r="E21" s="128" t="s">
        <v>24</v>
      </c>
      <c r="G21" s="12" t="s">
        <v>24</v>
      </c>
      <c r="I21" s="128" t="s">
        <v>24</v>
      </c>
    </row>
    <row r="22" spans="1:12">
      <c r="B22" s="46" t="s">
        <v>289</v>
      </c>
      <c r="C22" s="44"/>
      <c r="D22" s="44"/>
      <c r="E22" s="44"/>
      <c r="F22" s="44"/>
      <c r="G22" s="44"/>
      <c r="H22" s="44"/>
      <c r="I22" s="44"/>
      <c r="J22" s="44"/>
    </row>
    <row r="23" spans="1:12">
      <c r="B23" s="282" t="s">
        <v>291</v>
      </c>
      <c r="C23" s="43">
        <v>1338</v>
      </c>
      <c r="D23" s="44"/>
      <c r="E23" s="43">
        <v>0</v>
      </c>
      <c r="F23" s="44"/>
      <c r="G23" s="43">
        <v>26762</v>
      </c>
      <c r="H23" s="44"/>
      <c r="I23" s="43">
        <v>8800</v>
      </c>
      <c r="J23" s="44"/>
    </row>
    <row r="24" spans="1:12">
      <c r="B24" s="282" t="s">
        <v>292</v>
      </c>
      <c r="C24" s="43">
        <v>33</v>
      </c>
      <c r="D24" s="44"/>
      <c r="E24" s="43">
        <v>33</v>
      </c>
      <c r="F24" s="44"/>
      <c r="G24" s="43">
        <v>16</v>
      </c>
      <c r="H24" s="44"/>
      <c r="I24" s="43">
        <v>49</v>
      </c>
      <c r="J24" s="44"/>
    </row>
    <row r="25" spans="1:12">
      <c r="B25" s="46" t="s">
        <v>290</v>
      </c>
      <c r="C25" s="43"/>
      <c r="D25" s="44"/>
      <c r="E25" s="43"/>
      <c r="F25" s="44"/>
      <c r="G25" s="43"/>
      <c r="H25" s="44"/>
      <c r="I25" s="43"/>
      <c r="J25" s="44"/>
    </row>
    <row r="26" spans="1:12">
      <c r="B26" s="282" t="s">
        <v>293</v>
      </c>
      <c r="C26" s="43">
        <v>62</v>
      </c>
      <c r="D26" s="44"/>
      <c r="E26" s="43">
        <v>70</v>
      </c>
      <c r="F26" s="44"/>
      <c r="G26" s="43">
        <v>4697</v>
      </c>
      <c r="H26" s="44"/>
      <c r="I26" s="43">
        <v>4759</v>
      </c>
      <c r="J26" s="44"/>
    </row>
    <row r="27" spans="1:12">
      <c r="B27" s="282" t="s">
        <v>294</v>
      </c>
      <c r="C27" s="43">
        <v>0</v>
      </c>
      <c r="D27" s="44"/>
      <c r="E27" s="43">
        <v>0</v>
      </c>
      <c r="F27" s="44"/>
      <c r="G27" s="43">
        <v>0</v>
      </c>
      <c r="H27" s="44"/>
      <c r="I27" s="43">
        <v>0</v>
      </c>
      <c r="J27" s="44"/>
    </row>
    <row r="28" spans="1:12" ht="15" thickBot="1">
      <c r="B28" s="46"/>
      <c r="C28" s="57">
        <f>SUM(C23:C27)</f>
        <v>1433</v>
      </c>
      <c r="D28" s="44"/>
      <c r="E28" s="57">
        <f>SUM(E23:E27)</f>
        <v>103</v>
      </c>
      <c r="F28" s="44"/>
      <c r="G28" s="57">
        <f>SUM(G23:G27)</f>
        <v>31475</v>
      </c>
      <c r="H28" s="44"/>
      <c r="I28" s="57">
        <f>SUM(I23:I27)</f>
        <v>13608</v>
      </c>
      <c r="J28" s="44"/>
    </row>
    <row r="29" spans="1:12" ht="10.5" customHeight="1" thickTop="1">
      <c r="B29" s="46"/>
      <c r="C29" s="46"/>
      <c r="D29" s="46"/>
      <c r="E29" s="46"/>
      <c r="F29" s="46"/>
      <c r="G29" s="46"/>
      <c r="H29" s="46"/>
      <c r="I29" s="46"/>
      <c r="J29" s="46"/>
    </row>
    <row r="30" spans="1:12" ht="32.25" customHeight="1">
      <c r="B30" s="661" t="s">
        <v>776</v>
      </c>
      <c r="C30" s="661"/>
      <c r="D30" s="661"/>
      <c r="E30" s="661"/>
      <c r="F30" s="661"/>
      <c r="G30" s="661"/>
      <c r="H30" s="661"/>
      <c r="I30" s="661"/>
      <c r="J30" s="661"/>
      <c r="K30" s="661"/>
      <c r="L30" s="661"/>
    </row>
    <row r="31" spans="1:12" ht="27.75" customHeight="1">
      <c r="B31" s="670" t="s">
        <v>876</v>
      </c>
      <c r="C31" s="670"/>
      <c r="D31" s="670"/>
      <c r="E31" s="670"/>
      <c r="F31" s="670"/>
      <c r="G31" s="670"/>
      <c r="H31" s="670"/>
      <c r="I31" s="670"/>
      <c r="J31" s="670"/>
      <c r="K31" s="670"/>
      <c r="L31" s="670"/>
    </row>
    <row r="32" spans="1:12" ht="9" customHeight="1"/>
  </sheetData>
  <mergeCells count="7">
    <mergeCell ref="B31:L31"/>
    <mergeCell ref="B17:L17"/>
    <mergeCell ref="C19:E19"/>
    <mergeCell ref="G19:I19"/>
    <mergeCell ref="G3:J3"/>
    <mergeCell ref="C3:F3"/>
    <mergeCell ref="B30:L30"/>
  </mergeCells>
  <pageMargins left="0.70866141732283472" right="0.70866141732283472" top="0.84875" bottom="0.74803149606299213" header="0.57593749999999999" footer="0.31496062992125984"/>
  <pageSetup paperSize="9" scale="98" fitToHeight="2" orientation="landscape" verticalDpi="200" r:id="rId1"/>
  <headerFooter scaleWithDoc="0">
    <oddHeader>&amp;COxford Health NHS Foundation Trust - Annual Accounts 2012/13</oddHeader>
    <oddFooter>&amp;CPage 31</oddFooter>
    <evenFooter>&amp;CPage 31</evenFooter>
    <firstHeader>&amp;COxford Health NHS Foundation Trust - Annual Accounts 2011/12</firstHeader>
    <firstFooter>&amp;CPage 30</firstFooter>
  </headerFooter>
</worksheet>
</file>

<file path=xl/worksheets/sheet24.xml><?xml version="1.0" encoding="utf-8"?>
<worksheet xmlns="http://schemas.openxmlformats.org/spreadsheetml/2006/main" xmlns:r="http://schemas.openxmlformats.org/officeDocument/2006/relationships">
  <sheetPr>
    <pageSetUpPr fitToPage="1"/>
  </sheetPr>
  <dimension ref="A1:J21"/>
  <sheetViews>
    <sheetView view="pageLayout" workbookViewId="0">
      <selection activeCell="B46" sqref="B46"/>
    </sheetView>
  </sheetViews>
  <sheetFormatPr defaultRowHeight="14.25"/>
  <cols>
    <col min="1" max="1" width="3.7109375" style="20" customWidth="1"/>
    <col min="2" max="2" width="40.28515625" style="13" customWidth="1"/>
    <col min="3" max="3" width="15.42578125" style="13" bestFit="1" customWidth="1"/>
    <col min="4" max="4" width="2.7109375" style="13" customWidth="1"/>
    <col min="5" max="5" width="14.5703125" style="13" customWidth="1"/>
    <col min="6" max="6" width="0.85546875" style="13" customWidth="1"/>
    <col min="7" max="7" width="15.42578125" style="13" bestFit="1" customWidth="1"/>
    <col min="8" max="8" width="1.42578125" style="13" customWidth="1"/>
    <col min="9" max="9" width="14.42578125" style="13" customWidth="1"/>
    <col min="10" max="10" width="1" style="13" customWidth="1"/>
    <col min="11" max="11" width="9" style="13" customWidth="1"/>
    <col min="12" max="16384" width="9.140625" style="13"/>
  </cols>
  <sheetData>
    <row r="1" spans="1:10">
      <c r="A1" s="58"/>
      <c r="B1" s="19"/>
      <c r="C1" s="19"/>
      <c r="D1" s="19"/>
      <c r="E1" s="19"/>
      <c r="F1" s="19"/>
      <c r="G1" s="19"/>
      <c r="H1" s="19"/>
      <c r="I1" s="19"/>
      <c r="J1" s="19"/>
    </row>
    <row r="2" spans="1:10" s="174" customFormat="1" ht="15.75">
      <c r="A2" s="29">
        <v>26</v>
      </c>
      <c r="B2" s="14" t="s">
        <v>37</v>
      </c>
      <c r="C2" s="14"/>
      <c r="D2" s="14"/>
      <c r="E2" s="14"/>
      <c r="F2" s="14"/>
      <c r="G2" s="14"/>
      <c r="H2" s="14"/>
      <c r="I2" s="14"/>
    </row>
    <row r="3" spans="1:10" ht="15">
      <c r="C3" s="663" t="s">
        <v>256</v>
      </c>
      <c r="D3" s="663"/>
      <c r="E3" s="663"/>
      <c r="F3" s="237"/>
      <c r="G3" s="663" t="s">
        <v>257</v>
      </c>
      <c r="H3" s="663"/>
      <c r="I3" s="663"/>
    </row>
    <row r="4" spans="1:10" ht="15">
      <c r="C4" s="59">
        <f>This_year_ended</f>
        <v>41364</v>
      </c>
      <c r="D4" s="60"/>
      <c r="E4" s="60">
        <f>Last_year_ended</f>
        <v>40999</v>
      </c>
      <c r="F4" s="60"/>
      <c r="G4" s="59">
        <f>This_year_ended</f>
        <v>41364</v>
      </c>
      <c r="H4" s="60"/>
      <c r="I4" s="60">
        <f>Last_year_ended</f>
        <v>40999</v>
      </c>
    </row>
    <row r="5" spans="1:10" ht="15">
      <c r="C5" s="12" t="s">
        <v>24</v>
      </c>
      <c r="E5" s="128" t="s">
        <v>24</v>
      </c>
      <c r="G5" s="12" t="s">
        <v>24</v>
      </c>
      <c r="I5" s="128" t="s">
        <v>24</v>
      </c>
    </row>
    <row r="6" spans="1:10">
      <c r="B6" s="367" t="s">
        <v>777</v>
      </c>
      <c r="C6" s="283">
        <v>700</v>
      </c>
      <c r="D6" s="284"/>
      <c r="E6" s="284">
        <v>607</v>
      </c>
      <c r="F6" s="284"/>
      <c r="G6" s="283">
        <v>0</v>
      </c>
      <c r="H6" s="284"/>
      <c r="I6" s="284">
        <v>0</v>
      </c>
    </row>
    <row r="7" spans="1:10" ht="15" thickBot="1">
      <c r="B7" s="46"/>
      <c r="C7" s="226">
        <f>SUM(C6)</f>
        <v>700</v>
      </c>
      <c r="D7" s="225"/>
      <c r="E7" s="227">
        <f>SUM(E6)</f>
        <v>607</v>
      </c>
      <c r="F7" s="225"/>
      <c r="G7" s="226">
        <f>SUM(G6)</f>
        <v>0</v>
      </c>
      <c r="H7" s="225"/>
      <c r="I7" s="227">
        <f>SUM(I6)</f>
        <v>0</v>
      </c>
    </row>
    <row r="8" spans="1:10" ht="15" thickTop="1">
      <c r="B8" s="46"/>
      <c r="C8" s="46"/>
      <c r="D8" s="46"/>
      <c r="E8" s="46"/>
      <c r="F8" s="46"/>
      <c r="G8" s="46"/>
      <c r="H8" s="46"/>
      <c r="I8" s="46"/>
    </row>
    <row r="11" spans="1:10" ht="15">
      <c r="A11" s="29">
        <v>27</v>
      </c>
      <c r="B11" s="14" t="s">
        <v>39</v>
      </c>
      <c r="C11" s="14"/>
      <c r="D11" s="14"/>
      <c r="E11" s="14"/>
      <c r="F11" s="14"/>
      <c r="G11" s="14"/>
      <c r="H11" s="14"/>
      <c r="I11" s="14"/>
      <c r="J11" s="14"/>
    </row>
    <row r="12" spans="1:10" ht="15">
      <c r="A12" s="29"/>
      <c r="B12" s="14"/>
      <c r="C12" s="663" t="s">
        <v>256</v>
      </c>
      <c r="D12" s="663"/>
      <c r="E12" s="663"/>
      <c r="F12" s="663"/>
      <c r="G12" s="663" t="s">
        <v>257</v>
      </c>
      <c r="H12" s="663"/>
      <c r="I12" s="663"/>
      <c r="J12" s="663"/>
    </row>
    <row r="13" spans="1:10" ht="15">
      <c r="C13" s="59">
        <f>This_year_ended</f>
        <v>41364</v>
      </c>
      <c r="D13" s="60"/>
      <c r="E13" s="60">
        <f>Last_year_ended</f>
        <v>40999</v>
      </c>
      <c r="F13" s="60"/>
      <c r="G13" s="59">
        <f>This_year_ended</f>
        <v>41364</v>
      </c>
      <c r="H13" s="60"/>
      <c r="I13" s="60">
        <f>Last_year_ended</f>
        <v>40999</v>
      </c>
    </row>
    <row r="14" spans="1:10" ht="15">
      <c r="C14" s="12" t="s">
        <v>24</v>
      </c>
      <c r="E14" s="128" t="s">
        <v>24</v>
      </c>
      <c r="F14" s="128"/>
      <c r="G14" s="12" t="s">
        <v>24</v>
      </c>
      <c r="I14" s="128" t="s">
        <v>24</v>
      </c>
    </row>
    <row r="15" spans="1:10">
      <c r="B15" s="46" t="s">
        <v>307</v>
      </c>
      <c r="C15" s="43">
        <v>0</v>
      </c>
      <c r="D15" s="44"/>
      <c r="E15" s="44">
        <v>0</v>
      </c>
      <c r="F15" s="44"/>
      <c r="G15" s="43">
        <v>0</v>
      </c>
      <c r="H15" s="44"/>
      <c r="I15" s="44">
        <v>0</v>
      </c>
    </row>
    <row r="16" spans="1:10">
      <c r="B16" s="46" t="s">
        <v>308</v>
      </c>
      <c r="C16" s="43">
        <v>0</v>
      </c>
      <c r="D16" s="44"/>
      <c r="E16" s="44">
        <v>0</v>
      </c>
      <c r="F16" s="44"/>
      <c r="G16" s="43">
        <v>0</v>
      </c>
      <c r="H16" s="44"/>
      <c r="I16" s="44">
        <v>0</v>
      </c>
    </row>
    <row r="17" spans="2:9">
      <c r="B17" s="46" t="s">
        <v>778</v>
      </c>
      <c r="C17" s="43">
        <v>2334</v>
      </c>
      <c r="D17" s="44"/>
      <c r="E17" s="44">
        <v>4613</v>
      </c>
      <c r="F17" s="44"/>
      <c r="G17" s="43">
        <v>0</v>
      </c>
      <c r="H17" s="44"/>
      <c r="I17" s="44">
        <v>0</v>
      </c>
    </row>
    <row r="18" spans="2:9">
      <c r="B18" s="524" t="s">
        <v>831</v>
      </c>
      <c r="C18" s="43">
        <v>0</v>
      </c>
      <c r="D18" s="44"/>
      <c r="E18" s="44">
        <v>0</v>
      </c>
      <c r="F18" s="44"/>
      <c r="G18" s="43">
        <v>435</v>
      </c>
      <c r="H18" s="44"/>
      <c r="I18" s="44">
        <v>0</v>
      </c>
    </row>
    <row r="19" spans="2:9" ht="15" thickBot="1">
      <c r="B19" s="46"/>
      <c r="C19" s="57">
        <f>SUM(C15:C18)</f>
        <v>2334</v>
      </c>
      <c r="D19" s="44"/>
      <c r="E19" s="45">
        <f>SUM(E15:E18)</f>
        <v>4613</v>
      </c>
      <c r="F19" s="44"/>
      <c r="G19" s="57">
        <f>SUM(G15:G18)</f>
        <v>435</v>
      </c>
      <c r="H19" s="44"/>
      <c r="I19" s="45">
        <f>SUM(I15:I18)</f>
        <v>0</v>
      </c>
    </row>
    <row r="20" spans="2:9" ht="15" thickTop="1">
      <c r="B20" s="46"/>
      <c r="C20" s="46"/>
      <c r="D20" s="46"/>
      <c r="E20" s="46"/>
      <c r="F20" s="46"/>
      <c r="G20" s="46"/>
      <c r="H20" s="46"/>
      <c r="I20" s="46"/>
    </row>
    <row r="21" spans="2:9">
      <c r="B21" s="668" t="s">
        <v>832</v>
      </c>
      <c r="C21" s="668"/>
      <c r="D21" s="668"/>
      <c r="E21" s="668"/>
      <c r="F21" s="668"/>
      <c r="G21" s="668"/>
      <c r="H21" s="668"/>
      <c r="I21" s="668"/>
    </row>
  </sheetData>
  <mergeCells count="5">
    <mergeCell ref="C3:E3"/>
    <mergeCell ref="G3:I3"/>
    <mergeCell ref="C12:F12"/>
    <mergeCell ref="G12:J12"/>
    <mergeCell ref="B21:I21"/>
  </mergeCells>
  <pageMargins left="0.7" right="0.7" top="0.73229166666666667" bottom="0.75" header="0.48489583333333336" footer="0.3"/>
  <pageSetup paperSize="9" fitToHeight="2" orientation="landscape" verticalDpi="200" r:id="rId1"/>
  <headerFooter scaleWithDoc="0">
    <oddHeader>&amp;COxford Health NHS Foundation Trust - Annual Accounts 2012/13</oddHeader>
    <oddFooter>&amp;CPage 32</oddFooter>
    <evenFooter>&amp;CPage 31</evenFooter>
    <firstHeader>&amp;COxford Health NHS Foundation Trust - Annual Accounts 2011/12</firstHeader>
    <firstFooter>&amp;CPage 31</firstFooter>
  </headerFooter>
</worksheet>
</file>

<file path=xl/worksheets/sheet25.xml><?xml version="1.0" encoding="utf-8"?>
<worksheet xmlns="http://schemas.openxmlformats.org/spreadsheetml/2006/main" xmlns:r="http://schemas.openxmlformats.org/officeDocument/2006/relationships">
  <sheetPr codeName="Sheet23">
    <pageSetUpPr fitToPage="1"/>
  </sheetPr>
  <dimension ref="A1:N37"/>
  <sheetViews>
    <sheetView view="pageLayout" topLeftCell="D19" zoomScale="90" zoomScalePageLayoutView="90" workbookViewId="0">
      <selection activeCell="B46" sqref="B46"/>
    </sheetView>
  </sheetViews>
  <sheetFormatPr defaultRowHeight="14.25"/>
  <cols>
    <col min="1" max="1" width="6.28515625" style="20" customWidth="1"/>
    <col min="2" max="2" width="42" style="13" customWidth="1"/>
    <col min="3" max="3" width="15.42578125" style="13" bestFit="1" customWidth="1"/>
    <col min="4" max="4" width="2.140625" style="13" customWidth="1"/>
    <col min="5" max="5" width="14.85546875" style="13" bestFit="1" customWidth="1"/>
    <col min="6" max="6" width="2.140625" style="13" customWidth="1"/>
    <col min="7" max="7" width="15.42578125" style="13" bestFit="1" customWidth="1"/>
    <col min="8" max="8" width="2.140625" style="13" customWidth="1"/>
    <col min="9" max="9" width="15.42578125" style="13" bestFit="1" customWidth="1"/>
    <col min="10" max="10" width="2.140625" style="13" customWidth="1"/>
    <col min="11" max="11" width="14.85546875" style="13" bestFit="1" customWidth="1"/>
    <col min="12" max="12" width="2.140625" style="13" customWidth="1"/>
    <col min="13" max="13" width="13.140625" style="13" bestFit="1" customWidth="1"/>
    <col min="14" max="16384" width="9.140625" style="13"/>
  </cols>
  <sheetData>
    <row r="1" spans="1:13">
      <c r="A1" s="58"/>
      <c r="B1" s="19"/>
      <c r="C1" s="19"/>
      <c r="D1" s="19"/>
      <c r="E1" s="19"/>
      <c r="F1" s="19"/>
      <c r="G1" s="19"/>
      <c r="H1" s="19"/>
      <c r="I1" s="19"/>
      <c r="J1" s="19"/>
      <c r="K1" s="19"/>
      <c r="L1" s="19"/>
      <c r="M1" s="19"/>
    </row>
    <row r="2" spans="1:13" s="14" customFormat="1" ht="15">
      <c r="A2" s="29">
        <v>28</v>
      </c>
      <c r="B2" s="14" t="s">
        <v>38</v>
      </c>
    </row>
    <row r="3" spans="1:13" s="14" customFormat="1" ht="6.75" customHeight="1">
      <c r="A3" s="29"/>
    </row>
    <row r="4" spans="1:13" s="14" customFormat="1" ht="15">
      <c r="A4" s="29">
        <v>28.1</v>
      </c>
      <c r="B4" s="14" t="s">
        <v>779</v>
      </c>
      <c r="C4" s="663" t="s">
        <v>256</v>
      </c>
      <c r="D4" s="663"/>
      <c r="E4" s="663"/>
      <c r="F4" s="502"/>
      <c r="G4" s="663" t="s">
        <v>257</v>
      </c>
      <c r="H4" s="663"/>
      <c r="I4" s="663"/>
      <c r="J4" s="504"/>
      <c r="K4" s="504"/>
      <c r="L4" s="504"/>
      <c r="M4" s="504"/>
    </row>
    <row r="5" spans="1:13" ht="15">
      <c r="C5" s="59">
        <f>This_year_ended</f>
        <v>41364</v>
      </c>
      <c r="D5" s="60"/>
      <c r="E5" s="60">
        <f>Last_year_ended</f>
        <v>40999</v>
      </c>
      <c r="F5" s="60"/>
      <c r="G5" s="59">
        <f>This_year_ended</f>
        <v>41364</v>
      </c>
      <c r="H5" s="60"/>
      <c r="I5" s="60">
        <f>Last_year_ended</f>
        <v>40999</v>
      </c>
      <c r="J5" s="60"/>
      <c r="K5" s="60"/>
      <c r="M5" s="60"/>
    </row>
    <row r="6" spans="1:13" ht="15">
      <c r="C6" s="285" t="s">
        <v>24</v>
      </c>
      <c r="E6" s="286" t="s">
        <v>24</v>
      </c>
      <c r="G6" s="285" t="s">
        <v>24</v>
      </c>
      <c r="I6" s="286" t="s">
        <v>24</v>
      </c>
      <c r="K6" s="286"/>
      <c r="M6" s="286"/>
    </row>
    <row r="7" spans="1:13">
      <c r="B7" s="46" t="s">
        <v>295</v>
      </c>
      <c r="C7" s="43">
        <v>0</v>
      </c>
      <c r="D7" s="44"/>
      <c r="E7" s="44">
        <v>0</v>
      </c>
      <c r="F7" s="44"/>
      <c r="G7" s="43">
        <v>0</v>
      </c>
      <c r="H7" s="44"/>
      <c r="I7" s="44">
        <v>0</v>
      </c>
      <c r="J7" s="44"/>
      <c r="K7" s="522"/>
      <c r="L7" s="522"/>
      <c r="M7" s="522"/>
    </row>
    <row r="8" spans="1:13">
      <c r="B8" s="46" t="s">
        <v>296</v>
      </c>
      <c r="C8" s="43">
        <v>97</v>
      </c>
      <c r="D8" s="44"/>
      <c r="E8" s="44">
        <v>94</v>
      </c>
      <c r="F8" s="44"/>
      <c r="G8" s="43">
        <v>1014</v>
      </c>
      <c r="H8" s="44"/>
      <c r="I8" s="44">
        <f>1190-I9</f>
        <v>768</v>
      </c>
      <c r="J8" s="44"/>
      <c r="K8" s="43"/>
      <c r="L8" s="44"/>
      <c r="M8" s="44"/>
    </row>
    <row r="9" spans="1:13">
      <c r="B9" s="379" t="s">
        <v>787</v>
      </c>
      <c r="C9" s="43">
        <v>0</v>
      </c>
      <c r="D9" s="44"/>
      <c r="E9" s="44">
        <v>0</v>
      </c>
      <c r="F9" s="44"/>
      <c r="G9" s="43">
        <v>0</v>
      </c>
      <c r="H9" s="44"/>
      <c r="I9" s="44">
        <v>422</v>
      </c>
      <c r="J9" s="44"/>
      <c r="K9" s="43"/>
      <c r="L9" s="44"/>
      <c r="M9" s="44"/>
    </row>
    <row r="10" spans="1:13">
      <c r="B10" s="46" t="s">
        <v>297</v>
      </c>
      <c r="C10" s="43">
        <v>200</v>
      </c>
      <c r="D10" s="44"/>
      <c r="E10" s="44">
        <v>126</v>
      </c>
      <c r="F10" s="44"/>
      <c r="G10" s="43">
        <v>0</v>
      </c>
      <c r="H10" s="44"/>
      <c r="I10" s="44">
        <v>0</v>
      </c>
      <c r="J10" s="44"/>
      <c r="K10" s="43"/>
      <c r="L10" s="44"/>
      <c r="M10" s="44"/>
    </row>
    <row r="11" spans="1:13">
      <c r="B11" s="46" t="s">
        <v>786</v>
      </c>
      <c r="C11" s="43">
        <v>0</v>
      </c>
      <c r="D11" s="44"/>
      <c r="E11" s="44">
        <v>0</v>
      </c>
      <c r="F11" s="44"/>
      <c r="G11" s="43">
        <v>0</v>
      </c>
      <c r="H11" s="44"/>
      <c r="I11" s="44">
        <v>0</v>
      </c>
      <c r="J11" s="44"/>
      <c r="K11" s="43"/>
      <c r="L11" s="44"/>
      <c r="M11" s="44"/>
    </row>
    <row r="12" spans="1:13">
      <c r="B12" s="46" t="s">
        <v>781</v>
      </c>
      <c r="C12" s="43">
        <v>534</v>
      </c>
      <c r="D12" s="44"/>
      <c r="E12" s="44">
        <v>1399</v>
      </c>
      <c r="F12" s="44"/>
      <c r="G12" s="43">
        <v>0</v>
      </c>
      <c r="H12" s="44"/>
      <c r="I12" s="44">
        <v>0</v>
      </c>
      <c r="J12" s="44"/>
      <c r="K12" s="43"/>
      <c r="L12" s="44"/>
      <c r="M12" s="44"/>
    </row>
    <row r="13" spans="1:13">
      <c r="B13" s="46" t="s">
        <v>782</v>
      </c>
      <c r="C13" s="43">
        <v>15.12856</v>
      </c>
      <c r="D13" s="44"/>
      <c r="E13" s="44">
        <v>14</v>
      </c>
      <c r="F13" s="44"/>
      <c r="G13" s="43">
        <v>178.87299999999999</v>
      </c>
      <c r="H13" s="44"/>
      <c r="I13" s="44">
        <v>145</v>
      </c>
      <c r="J13" s="44"/>
      <c r="K13" s="43"/>
      <c r="L13" s="44"/>
      <c r="M13" s="44"/>
    </row>
    <row r="14" spans="1:13">
      <c r="B14" s="46" t="s">
        <v>783</v>
      </c>
      <c r="C14" s="43">
        <v>47.064</v>
      </c>
      <c r="D14" s="44"/>
      <c r="E14" s="44">
        <v>45</v>
      </c>
      <c r="F14" s="44"/>
      <c r="G14" s="43">
        <v>839.57100000000003</v>
      </c>
      <c r="H14" s="44"/>
      <c r="I14" s="44">
        <v>705</v>
      </c>
      <c r="J14" s="44"/>
      <c r="K14" s="43"/>
      <c r="L14" s="44"/>
      <c r="M14" s="44"/>
    </row>
    <row r="15" spans="1:13">
      <c r="B15" s="46" t="s">
        <v>784</v>
      </c>
      <c r="C15" s="43">
        <v>32</v>
      </c>
      <c r="D15" s="44"/>
      <c r="E15" s="44">
        <v>156</v>
      </c>
      <c r="F15" s="44"/>
      <c r="G15" s="43">
        <v>0</v>
      </c>
      <c r="H15" s="44"/>
      <c r="I15" s="44">
        <v>0</v>
      </c>
      <c r="J15" s="44"/>
      <c r="K15" s="522"/>
      <c r="L15" s="522"/>
      <c r="M15" s="522"/>
    </row>
    <row r="16" spans="1:13">
      <c r="B16" s="524" t="s">
        <v>785</v>
      </c>
      <c r="C16" s="43">
        <v>246</v>
      </c>
      <c r="D16" s="44"/>
      <c r="E16" s="44">
        <v>0</v>
      </c>
      <c r="F16" s="44"/>
      <c r="G16" s="43">
        <v>562</v>
      </c>
      <c r="H16" s="44"/>
      <c r="I16" s="44">
        <v>0</v>
      </c>
      <c r="J16" s="44"/>
      <c r="K16" s="522"/>
      <c r="L16" s="522"/>
      <c r="M16" s="522"/>
    </row>
    <row r="17" spans="1:14" ht="15" thickBot="1">
      <c r="B17" s="46"/>
      <c r="C17" s="57">
        <f>SUM(C7:C16)</f>
        <v>1171.19256</v>
      </c>
      <c r="D17" s="44"/>
      <c r="E17" s="45">
        <f>SUM(E7:E16)</f>
        <v>1834</v>
      </c>
      <c r="F17" s="44"/>
      <c r="G17" s="57">
        <f>SUM(G7:G16)</f>
        <v>2594.444</v>
      </c>
      <c r="H17" s="44"/>
      <c r="I17" s="45">
        <f>SUM(I7:I16)</f>
        <v>2040</v>
      </c>
      <c r="J17" s="44"/>
      <c r="K17" s="505"/>
      <c r="L17" s="44"/>
      <c r="M17" s="503"/>
    </row>
    <row r="18" spans="1:14" ht="15" thickTop="1"/>
    <row r="19" spans="1:14" s="288" customFormat="1" ht="77.25">
      <c r="A19" s="487">
        <v>28.2</v>
      </c>
      <c r="B19" s="487" t="s">
        <v>780</v>
      </c>
      <c r="C19" s="48" t="s">
        <v>295</v>
      </c>
      <c r="D19" s="48"/>
      <c r="E19" s="561" t="s">
        <v>609</v>
      </c>
      <c r="F19" s="48"/>
      <c r="G19" s="48" t="s">
        <v>297</v>
      </c>
      <c r="H19" s="48"/>
      <c r="I19" s="48" t="s">
        <v>298</v>
      </c>
      <c r="J19" s="48"/>
      <c r="K19" s="48" t="s">
        <v>173</v>
      </c>
      <c r="L19" s="48"/>
      <c r="M19" s="48" t="s">
        <v>53</v>
      </c>
    </row>
    <row r="20" spans="1:14" ht="15">
      <c r="C20" s="285" t="s">
        <v>24</v>
      </c>
      <c r="E20" s="285" t="s">
        <v>24</v>
      </c>
      <c r="G20" s="285" t="s">
        <v>24</v>
      </c>
      <c r="I20" s="285" t="s">
        <v>24</v>
      </c>
      <c r="K20" s="285" t="s">
        <v>24</v>
      </c>
      <c r="M20" s="285" t="s">
        <v>24</v>
      </c>
    </row>
    <row r="21" spans="1:14" s="14" customFormat="1" ht="15">
      <c r="A21" s="29"/>
      <c r="B21" s="14" t="str">
        <f xml:space="preserve"> "Provision at " &amp; TEXT(This_year_beginning, "d mmmm yyyy")</f>
        <v>Provision at 1 April 2012</v>
      </c>
      <c r="C21" s="292">
        <f>E7</f>
        <v>0</v>
      </c>
      <c r="D21" s="43"/>
      <c r="E21" s="292">
        <v>1284</v>
      </c>
      <c r="F21" s="43"/>
      <c r="G21" s="292">
        <v>126</v>
      </c>
      <c r="H21" s="43"/>
      <c r="I21" s="292">
        <f>E11+K11</f>
        <v>0</v>
      </c>
      <c r="J21" s="43"/>
      <c r="K21" s="292">
        <v>2464</v>
      </c>
      <c r="L21" s="43"/>
      <c r="M21" s="292">
        <f>SUM(C21:K21)</f>
        <v>3874</v>
      </c>
      <c r="N21" s="240"/>
    </row>
    <row r="22" spans="1:14">
      <c r="B22" s="46" t="s">
        <v>299</v>
      </c>
      <c r="C22" s="44"/>
      <c r="D22" s="44"/>
      <c r="E22" s="44">
        <v>299</v>
      </c>
      <c r="F22" s="44"/>
      <c r="G22" s="44">
        <v>120</v>
      </c>
      <c r="H22" s="44"/>
      <c r="I22" s="44"/>
      <c r="J22" s="44"/>
      <c r="K22" s="44">
        <f>534+996-246</f>
        <v>1284</v>
      </c>
      <c r="L22" s="44"/>
      <c r="M22" s="291">
        <f>SUM(C22:L22)</f>
        <v>1703</v>
      </c>
    </row>
    <row r="23" spans="1:14">
      <c r="B23" s="46" t="s">
        <v>300</v>
      </c>
      <c r="C23" s="44"/>
      <c r="D23" s="44"/>
      <c r="E23" s="44">
        <f>-100-1</f>
        <v>-101</v>
      </c>
      <c r="F23" s="44"/>
      <c r="G23" s="44">
        <v>10</v>
      </c>
      <c r="H23" s="44"/>
      <c r="I23" s="44"/>
      <c r="J23" s="44"/>
      <c r="K23" s="44">
        <f>-1399-64-1</f>
        <v>-1464</v>
      </c>
      <c r="L23" s="44"/>
      <c r="M23" s="291">
        <f t="shared" ref="M23:M28" si="0">SUM(C23:L23)</f>
        <v>-1555</v>
      </c>
    </row>
    <row r="24" spans="1:14">
      <c r="B24" s="46" t="s">
        <v>435</v>
      </c>
      <c r="C24" s="44"/>
      <c r="D24" s="44"/>
      <c r="E24" s="44">
        <v>33</v>
      </c>
      <c r="F24" s="44"/>
      <c r="G24" s="44"/>
      <c r="H24" s="44"/>
      <c r="I24" s="44"/>
      <c r="J24" s="44"/>
      <c r="K24" s="44">
        <v>51</v>
      </c>
      <c r="L24" s="44"/>
      <c r="M24" s="291">
        <f t="shared" si="0"/>
        <v>84</v>
      </c>
    </row>
    <row r="25" spans="1:14">
      <c r="B25" s="46" t="s">
        <v>301</v>
      </c>
      <c r="C25" s="44"/>
      <c r="D25" s="44"/>
      <c r="E25" s="44">
        <v>-10</v>
      </c>
      <c r="F25" s="44"/>
      <c r="G25" s="44">
        <v>-57</v>
      </c>
      <c r="H25" s="44"/>
      <c r="I25" s="44"/>
      <c r="J25" s="44"/>
      <c r="K25" s="44">
        <v>-156</v>
      </c>
      <c r="L25" s="44"/>
      <c r="M25" s="291">
        <f t="shared" si="0"/>
        <v>-223</v>
      </c>
    </row>
    <row r="26" spans="1:14">
      <c r="B26" s="576" t="s">
        <v>870</v>
      </c>
      <c r="C26" s="44"/>
      <c r="D26" s="44"/>
      <c r="E26" s="44"/>
      <c r="F26" s="44"/>
      <c r="G26" s="44"/>
      <c r="H26" s="44"/>
      <c r="I26" s="44"/>
      <c r="J26" s="44"/>
      <c r="K26" s="44">
        <v>246</v>
      </c>
      <c r="L26" s="44"/>
      <c r="M26" s="291">
        <f t="shared" si="0"/>
        <v>246</v>
      </c>
    </row>
    <row r="27" spans="1:14">
      <c r="B27" s="576" t="s">
        <v>871</v>
      </c>
      <c r="C27" s="44"/>
      <c r="D27" s="44"/>
      <c r="E27" s="44">
        <v>-422</v>
      </c>
      <c r="F27" s="44"/>
      <c r="G27" s="44"/>
      <c r="H27" s="44"/>
      <c r="I27" s="44"/>
      <c r="J27" s="44"/>
      <c r="K27" s="44"/>
      <c r="L27" s="44"/>
      <c r="M27" s="291">
        <f t="shared" si="0"/>
        <v>-422</v>
      </c>
    </row>
    <row r="28" spans="1:14">
      <c r="B28" s="46" t="s">
        <v>302</v>
      </c>
      <c r="C28" s="44"/>
      <c r="D28" s="44"/>
      <c r="E28" s="44">
        <v>28</v>
      </c>
      <c r="F28" s="44"/>
      <c r="G28" s="44"/>
      <c r="H28" s="44"/>
      <c r="I28" s="44"/>
      <c r="J28" s="44"/>
      <c r="K28" s="44">
        <v>28</v>
      </c>
      <c r="L28" s="44"/>
      <c r="M28" s="291">
        <f t="shared" si="0"/>
        <v>56</v>
      </c>
    </row>
    <row r="29" spans="1:14" s="14" customFormat="1" ht="15.75" thickBot="1">
      <c r="A29" s="29"/>
      <c r="B29" s="14" t="str">
        <f xml:space="preserve"> "Provision at " &amp; TEXT(This_year_ended, "dd mmmm yyyy")</f>
        <v>Provision at 31 March 2013</v>
      </c>
      <c r="C29" s="57">
        <f>SUM(C21:C28)</f>
        <v>0</v>
      </c>
      <c r="D29" s="43"/>
      <c r="E29" s="57">
        <f>SUM(E21:E28)</f>
        <v>1111</v>
      </c>
      <c r="F29" s="43"/>
      <c r="G29" s="57">
        <f>SUM(G21:G28)</f>
        <v>199</v>
      </c>
      <c r="H29" s="43"/>
      <c r="I29" s="57">
        <f>SUM(I21:I28)</f>
        <v>0</v>
      </c>
      <c r="J29" s="43"/>
      <c r="K29" s="57">
        <f>SUM(K21:K28)</f>
        <v>2453</v>
      </c>
      <c r="L29" s="43"/>
      <c r="M29" s="57">
        <f>SUM(M21:M28)</f>
        <v>3763</v>
      </c>
    </row>
    <row r="30" spans="1:14" s="14" customFormat="1" ht="8.25" customHeight="1" thickTop="1">
      <c r="A30" s="29"/>
      <c r="C30" s="289"/>
      <c r="D30" s="18"/>
      <c r="E30" s="289"/>
      <c r="F30" s="18"/>
      <c r="G30" s="289"/>
      <c r="H30" s="18"/>
      <c r="I30" s="289"/>
      <c r="J30" s="18"/>
      <c r="K30" s="289"/>
      <c r="L30" s="18"/>
      <c r="M30" s="289"/>
    </row>
    <row r="31" spans="1:14" s="14" customFormat="1" ht="15">
      <c r="A31" s="29"/>
      <c r="B31" s="14" t="s">
        <v>303</v>
      </c>
      <c r="C31" s="285" t="s">
        <v>24</v>
      </c>
      <c r="D31" s="13"/>
      <c r="E31" s="285" t="s">
        <v>24</v>
      </c>
      <c r="F31" s="13"/>
      <c r="G31" s="285" t="s">
        <v>24</v>
      </c>
      <c r="H31" s="13"/>
      <c r="I31" s="285" t="s">
        <v>24</v>
      </c>
      <c r="J31" s="13"/>
      <c r="K31" s="285" t="s">
        <v>24</v>
      </c>
      <c r="L31" s="13"/>
      <c r="M31" s="285" t="s">
        <v>24</v>
      </c>
    </row>
    <row r="32" spans="1:14" s="14" customFormat="1" ht="15">
      <c r="A32" s="29"/>
      <c r="B32" s="290" t="s">
        <v>304</v>
      </c>
      <c r="C32" s="44">
        <v>0</v>
      </c>
      <c r="D32" s="44"/>
      <c r="E32" s="44">
        <v>98</v>
      </c>
      <c r="F32" s="44"/>
      <c r="G32" s="44">
        <v>200</v>
      </c>
      <c r="H32" s="44"/>
      <c r="I32" s="44">
        <v>0</v>
      </c>
      <c r="J32" s="44"/>
      <c r="K32" s="44">
        <f>534+340</f>
        <v>874</v>
      </c>
      <c r="L32" s="44"/>
      <c r="M32" s="291">
        <f>SUM(C32:L32)</f>
        <v>1172</v>
      </c>
    </row>
    <row r="33" spans="1:13" s="14" customFormat="1" ht="15" customHeight="1">
      <c r="A33" s="29"/>
      <c r="B33" s="290" t="s">
        <v>305</v>
      </c>
      <c r="C33" s="44">
        <v>0</v>
      </c>
      <c r="D33" s="44"/>
      <c r="E33" s="44">
        <v>369</v>
      </c>
      <c r="F33" s="44"/>
      <c r="G33" s="44">
        <v>0</v>
      </c>
      <c r="H33" s="44"/>
      <c r="I33" s="44">
        <v>0</v>
      </c>
      <c r="J33" s="44"/>
      <c r="K33" s="44">
        <v>797</v>
      </c>
      <c r="L33" s="44"/>
      <c r="M33" s="291">
        <f t="shared" ref="M33:M34" si="1">SUM(C33:L33)</f>
        <v>1166</v>
      </c>
    </row>
    <row r="34" spans="1:13" s="14" customFormat="1" ht="15">
      <c r="A34" s="29"/>
      <c r="B34" s="290" t="s">
        <v>306</v>
      </c>
      <c r="C34" s="44">
        <v>0</v>
      </c>
      <c r="D34" s="44"/>
      <c r="E34" s="44">
        <v>644</v>
      </c>
      <c r="F34" s="44"/>
      <c r="G34" s="44">
        <v>0</v>
      </c>
      <c r="H34" s="44"/>
      <c r="I34" s="44">
        <v>0</v>
      </c>
      <c r="J34" s="44"/>
      <c r="K34" s="44">
        <v>784</v>
      </c>
      <c r="L34" s="44"/>
      <c r="M34" s="291">
        <f t="shared" si="1"/>
        <v>1428</v>
      </c>
    </row>
    <row r="36" spans="1:13" ht="30" customHeight="1">
      <c r="B36" s="678" t="s">
        <v>877</v>
      </c>
      <c r="C36" s="678"/>
      <c r="D36" s="678"/>
      <c r="E36" s="678"/>
      <c r="F36" s="678"/>
      <c r="G36" s="678"/>
      <c r="H36" s="678"/>
      <c r="I36" s="678"/>
      <c r="J36" s="678"/>
      <c r="K36" s="678"/>
      <c r="L36" s="678"/>
      <c r="M36" s="678"/>
    </row>
    <row r="37" spans="1:13" ht="18.75" customHeight="1">
      <c r="B37" s="661" t="str">
        <f>"£550k is included in the provisions of the NHS Litigation Authority at "&amp;TEXT(This_year_ended,"dd mmmm yyyy")&amp;" in respect of clinical negligence liabilities of the Trust"&amp;" (£485k at "&amp;(TEXT(Last_year_ended,"dd mmmm yyyy")&amp;").")</f>
        <v>£550k is included in the provisions of the NHS Litigation Authority at 31 March 2013 in respect of clinical negligence liabilities of the Trust (£485k at 31 March 2012).</v>
      </c>
      <c r="C37" s="661"/>
      <c r="D37" s="661"/>
      <c r="E37" s="661"/>
      <c r="F37" s="661"/>
      <c r="G37" s="661"/>
      <c r="H37" s="661"/>
      <c r="I37" s="661"/>
      <c r="J37" s="661"/>
      <c r="K37" s="661"/>
      <c r="L37" s="661"/>
      <c r="M37" s="661"/>
    </row>
  </sheetData>
  <mergeCells count="4">
    <mergeCell ref="B37:M37"/>
    <mergeCell ref="C4:E4"/>
    <mergeCell ref="G4:I4"/>
    <mergeCell ref="B36:M36"/>
  </mergeCells>
  <pageMargins left="0.7" right="0.7" top="0.66" bottom="0.75" header="0.41249999999999998" footer="0.3"/>
  <pageSetup paperSize="9" scale="83" orientation="landscape" verticalDpi="200" r:id="rId1"/>
  <headerFooter scaleWithDoc="0">
    <oddHeader>&amp;COxford Health NHS Foundation Trust - Annual Accounts 2012/13</oddHeader>
    <oddFooter>&amp;CPage 33</oddFooter>
  </headerFooter>
</worksheet>
</file>

<file path=xl/worksheets/sheet26.xml><?xml version="1.0" encoding="utf-8"?>
<worksheet xmlns="http://schemas.openxmlformats.org/spreadsheetml/2006/main" xmlns:r="http://schemas.openxmlformats.org/officeDocument/2006/relationships">
  <sheetPr codeName="Sheet25">
    <pageSetUpPr fitToPage="1"/>
  </sheetPr>
  <dimension ref="A1:M18"/>
  <sheetViews>
    <sheetView view="pageLayout" zoomScale="80" zoomScaleNormal="70" zoomScalePageLayoutView="80" workbookViewId="0">
      <selection activeCell="B46" sqref="B46"/>
    </sheetView>
  </sheetViews>
  <sheetFormatPr defaultRowHeight="15"/>
  <cols>
    <col min="1" max="1" width="3.7109375" style="20" customWidth="1"/>
    <col min="2" max="2" width="48.42578125" style="13" customWidth="1"/>
    <col min="3" max="3" width="13" style="14" customWidth="1"/>
    <col min="4" max="4" width="2.42578125" style="13" customWidth="1"/>
    <col min="5" max="5" width="13.140625" style="14" customWidth="1"/>
    <col min="6" max="6" width="2.5703125" style="13" customWidth="1"/>
    <col min="7" max="7" width="13.28515625" style="14" customWidth="1"/>
    <col min="8" max="8" width="6" style="13" customWidth="1"/>
    <col min="9" max="9" width="12.28515625" style="13" customWidth="1"/>
    <col min="10" max="10" width="2.42578125" style="13" customWidth="1"/>
    <col min="11" max="11" width="12.28515625" style="13" customWidth="1"/>
    <col min="12" max="12" width="2.5703125" style="13" customWidth="1"/>
    <col min="13" max="13" width="13" style="13" customWidth="1"/>
    <col min="14" max="14" width="2.7109375" style="13" customWidth="1"/>
    <col min="15" max="15" width="12.7109375" style="13" customWidth="1"/>
    <col min="16" max="16384" width="9.140625" style="13"/>
  </cols>
  <sheetData>
    <row r="1" spans="1:13">
      <c r="A1" s="58"/>
      <c r="B1" s="19"/>
      <c r="C1" s="173"/>
      <c r="D1" s="19"/>
      <c r="E1" s="173"/>
      <c r="F1" s="19"/>
      <c r="G1" s="173"/>
      <c r="H1" s="19"/>
      <c r="I1" s="19"/>
      <c r="J1" s="19"/>
      <c r="K1" s="19"/>
      <c r="L1" s="19"/>
      <c r="M1" s="19"/>
    </row>
    <row r="2" spans="1:13" s="14" customFormat="1">
      <c r="A2" s="29">
        <v>29</v>
      </c>
      <c r="B2" s="14" t="s">
        <v>46</v>
      </c>
    </row>
    <row r="3" spans="1:13" s="14" customFormat="1">
      <c r="A3" s="29"/>
      <c r="C3" s="663" t="str">
        <f>This_year</f>
        <v>2012/13</v>
      </c>
      <c r="D3" s="663"/>
      <c r="E3" s="663"/>
      <c r="F3" s="663"/>
      <c r="G3" s="663"/>
      <c r="I3" s="671" t="str">
        <f>Last_year</f>
        <v>2011/12</v>
      </c>
      <c r="J3" s="671"/>
      <c r="K3" s="671"/>
      <c r="L3" s="671"/>
      <c r="M3" s="671"/>
    </row>
    <row r="4" spans="1:13" s="14" customFormat="1">
      <c r="A4" s="29"/>
      <c r="C4" s="279"/>
      <c r="D4" s="279"/>
      <c r="E4" s="279"/>
      <c r="F4" s="279"/>
      <c r="G4" s="279"/>
      <c r="I4" s="564"/>
      <c r="J4" s="564"/>
      <c r="K4" s="564"/>
      <c r="L4" s="564"/>
      <c r="M4" s="564"/>
    </row>
    <row r="5" spans="1:13" s="297" customFormat="1" ht="75">
      <c r="A5" s="231"/>
      <c r="C5" s="295" t="s">
        <v>788</v>
      </c>
      <c r="E5" s="295" t="s">
        <v>789</v>
      </c>
      <c r="G5" s="295" t="s">
        <v>790</v>
      </c>
      <c r="I5" s="297" t="s">
        <v>788</v>
      </c>
      <c r="K5" s="297" t="s">
        <v>789</v>
      </c>
      <c r="M5" s="297" t="s">
        <v>790</v>
      </c>
    </row>
    <row r="6" spans="1:13" s="121" customFormat="1">
      <c r="C6" s="349" t="s">
        <v>217</v>
      </c>
      <c r="E6" s="349" t="s">
        <v>217</v>
      </c>
      <c r="G6" s="349" t="s">
        <v>217</v>
      </c>
      <c r="I6" s="350" t="s">
        <v>217</v>
      </c>
      <c r="K6" s="350" t="s">
        <v>217</v>
      </c>
      <c r="M6" s="350" t="s">
        <v>217</v>
      </c>
    </row>
    <row r="7" spans="1:13" s="14" customFormat="1">
      <c r="A7" s="29"/>
      <c r="B7" s="14" t="str">
        <f>"Revaluation reserve at 1 April"</f>
        <v>Revaluation reserve at 1 April</v>
      </c>
      <c r="C7" s="292">
        <f>I17</f>
        <v>15982</v>
      </c>
      <c r="D7" s="43"/>
      <c r="E7" s="292">
        <f>K17</f>
        <v>0</v>
      </c>
      <c r="F7" s="43"/>
      <c r="G7" s="292">
        <f>M17</f>
        <v>15982</v>
      </c>
      <c r="H7" s="43"/>
      <c r="I7" s="565">
        <f>SUM(J7:M7)</f>
        <v>12932</v>
      </c>
      <c r="J7" s="44"/>
      <c r="K7" s="565">
        <v>0</v>
      </c>
      <c r="L7" s="44"/>
      <c r="M7" s="565">
        <v>12932</v>
      </c>
    </row>
    <row r="8" spans="1:13" ht="30.75" customHeight="1">
      <c r="B8" s="290" t="s">
        <v>309</v>
      </c>
      <c r="C8" s="258">
        <f>SUM(E8:G8)</f>
        <v>0</v>
      </c>
      <c r="D8" s="259"/>
      <c r="E8" s="258">
        <v>0</v>
      </c>
      <c r="F8" s="259"/>
      <c r="G8" s="258">
        <v>0</v>
      </c>
      <c r="H8" s="259"/>
      <c r="I8" s="259">
        <f t="shared" ref="I8:I16" si="0">SUM(J8:M8)</f>
        <v>0</v>
      </c>
      <c r="J8" s="259"/>
      <c r="K8" s="259">
        <v>0</v>
      </c>
      <c r="L8" s="259"/>
      <c r="M8" s="259">
        <v>0</v>
      </c>
    </row>
    <row r="9" spans="1:13" ht="25.5">
      <c r="B9" s="290" t="s">
        <v>310</v>
      </c>
      <c r="C9" s="258">
        <f t="shared" ref="C9:C16" si="1">SUM(E9:G9)</f>
        <v>-1886</v>
      </c>
      <c r="D9" s="259"/>
      <c r="E9" s="258">
        <v>0</v>
      </c>
      <c r="F9" s="259"/>
      <c r="G9" s="258">
        <f>-6213+4327</f>
        <v>-1886</v>
      </c>
      <c r="H9" s="259"/>
      <c r="I9" s="259">
        <f t="shared" si="0"/>
        <v>3384</v>
      </c>
      <c r="J9" s="259"/>
      <c r="K9" s="259">
        <v>0</v>
      </c>
      <c r="L9" s="259"/>
      <c r="M9" s="259">
        <v>3384</v>
      </c>
    </row>
    <row r="10" spans="1:13" ht="38.25">
      <c r="B10" s="290" t="s">
        <v>311</v>
      </c>
      <c r="C10" s="258">
        <f t="shared" si="1"/>
        <v>0</v>
      </c>
      <c r="D10" s="259"/>
      <c r="E10" s="258">
        <v>0</v>
      </c>
      <c r="F10" s="259"/>
      <c r="G10" s="258">
        <v>0</v>
      </c>
      <c r="H10" s="259"/>
      <c r="I10" s="259">
        <f t="shared" si="0"/>
        <v>0</v>
      </c>
      <c r="J10" s="259"/>
      <c r="K10" s="259">
        <v>0</v>
      </c>
      <c r="L10" s="259"/>
      <c r="M10" s="259">
        <v>0</v>
      </c>
    </row>
    <row r="11" spans="1:13" ht="25.5">
      <c r="B11" s="290" t="s">
        <v>312</v>
      </c>
      <c r="C11" s="258">
        <f t="shared" si="1"/>
        <v>0</v>
      </c>
      <c r="D11" s="259"/>
      <c r="E11" s="258">
        <v>0</v>
      </c>
      <c r="F11" s="259"/>
      <c r="G11" s="258">
        <v>0</v>
      </c>
      <c r="H11" s="259"/>
      <c r="I11" s="259">
        <f t="shared" si="0"/>
        <v>0</v>
      </c>
      <c r="J11" s="259"/>
      <c r="K11" s="259">
        <v>0</v>
      </c>
      <c r="L11" s="259"/>
      <c r="M11" s="259">
        <v>0</v>
      </c>
    </row>
    <row r="12" spans="1:13" ht="25.5">
      <c r="B12" s="290" t="s">
        <v>313</v>
      </c>
      <c r="C12" s="258">
        <f t="shared" si="1"/>
        <v>0</v>
      </c>
      <c r="D12" s="259"/>
      <c r="E12" s="258">
        <v>0</v>
      </c>
      <c r="F12" s="259"/>
      <c r="G12" s="258">
        <v>0</v>
      </c>
      <c r="H12" s="259"/>
      <c r="I12" s="259">
        <f t="shared" si="0"/>
        <v>0</v>
      </c>
      <c r="J12" s="259"/>
      <c r="K12" s="259">
        <v>0</v>
      </c>
      <c r="L12" s="259"/>
      <c r="M12" s="259">
        <v>0</v>
      </c>
    </row>
    <row r="13" spans="1:13" ht="26.25">
      <c r="B13" s="290" t="s">
        <v>314</v>
      </c>
      <c r="C13" s="14">
        <v>0</v>
      </c>
      <c r="E13" s="14">
        <v>0</v>
      </c>
      <c r="G13" s="14">
        <v>0</v>
      </c>
      <c r="H13" s="259"/>
      <c r="I13" s="259">
        <f t="shared" si="0"/>
        <v>0</v>
      </c>
      <c r="J13" s="259"/>
      <c r="K13" s="259">
        <v>0</v>
      </c>
      <c r="L13" s="259"/>
      <c r="M13" s="259">
        <v>0</v>
      </c>
    </row>
    <row r="14" spans="1:13" ht="40.5" customHeight="1">
      <c r="B14" s="290" t="s">
        <v>315</v>
      </c>
      <c r="C14" s="258">
        <f>SUM(E14:G14)</f>
        <v>-432</v>
      </c>
      <c r="D14" s="259"/>
      <c r="E14" s="258">
        <v>0</v>
      </c>
      <c r="F14" s="259"/>
      <c r="G14" s="258">
        <v>-432</v>
      </c>
      <c r="H14" s="259"/>
      <c r="I14" s="259">
        <f t="shared" si="0"/>
        <v>-334</v>
      </c>
      <c r="J14" s="259"/>
      <c r="K14" s="259">
        <v>0</v>
      </c>
      <c r="L14" s="259"/>
      <c r="M14" s="259">
        <v>-334</v>
      </c>
    </row>
    <row r="15" spans="1:13" ht="14.25">
      <c r="B15" s="290" t="s">
        <v>316</v>
      </c>
      <c r="C15" s="258">
        <f>SUM(E15:G15)</f>
        <v>1376</v>
      </c>
      <c r="D15" s="259"/>
      <c r="E15" s="258">
        <v>0</v>
      </c>
      <c r="F15" s="259"/>
      <c r="G15" s="258">
        <v>1376</v>
      </c>
      <c r="H15" s="259"/>
      <c r="I15" s="259">
        <f t="shared" si="0"/>
        <v>0</v>
      </c>
      <c r="J15" s="259"/>
      <c r="K15" s="259">
        <v>0</v>
      </c>
      <c r="L15" s="259"/>
      <c r="M15" s="259">
        <v>0</v>
      </c>
    </row>
    <row r="16" spans="1:13" ht="14.25">
      <c r="B16" s="290" t="s">
        <v>59</v>
      </c>
      <c r="C16" s="258">
        <f t="shared" si="1"/>
        <v>0</v>
      </c>
      <c r="D16" s="259"/>
      <c r="E16" s="258">
        <v>0</v>
      </c>
      <c r="F16" s="259"/>
      <c r="G16" s="258">
        <v>0</v>
      </c>
      <c r="H16" s="259"/>
      <c r="I16" s="259">
        <f t="shared" si="0"/>
        <v>0</v>
      </c>
      <c r="J16" s="259"/>
      <c r="K16" s="259">
        <v>0</v>
      </c>
      <c r="L16" s="259"/>
      <c r="M16" s="259">
        <v>0</v>
      </c>
    </row>
    <row r="17" spans="1:13" ht="15.75" thickBot="1">
      <c r="A17" s="29"/>
      <c r="B17" s="14" t="str">
        <f>"Revaluation reserve at 31 March"</f>
        <v>Revaluation reserve at 31 March</v>
      </c>
      <c r="C17" s="57">
        <f>SUM(C7:C16)</f>
        <v>15040</v>
      </c>
      <c r="D17" s="43"/>
      <c r="E17" s="57">
        <f>SUM(E7:E16)</f>
        <v>0</v>
      </c>
      <c r="F17" s="43"/>
      <c r="G17" s="57">
        <f>SUM(G7:G16)</f>
        <v>15040</v>
      </c>
      <c r="H17" s="44"/>
      <c r="I17" s="45">
        <f>SUM(I7:I16)</f>
        <v>15982</v>
      </c>
      <c r="J17" s="44"/>
      <c r="K17" s="45">
        <f>SUM(K7:K16)</f>
        <v>0</v>
      </c>
      <c r="L17" s="44"/>
      <c r="M17" s="45">
        <f>SUM(M7:M16)</f>
        <v>15982</v>
      </c>
    </row>
    <row r="18" spans="1:13" ht="15.75" thickTop="1"/>
  </sheetData>
  <mergeCells count="2">
    <mergeCell ref="C3:G3"/>
    <mergeCell ref="I3:M3"/>
  </mergeCells>
  <pageMargins left="0.7" right="0.7" top="0.77083333333333337" bottom="0.75" header="0.51041666666666663" footer="0.3"/>
  <pageSetup paperSize="9" scale="90" orientation="landscape" verticalDpi="200" r:id="rId1"/>
  <headerFooter scaleWithDoc="0">
    <oddHeader>&amp;COxford Health NHS Foundation Trust - Annual Accounts 2012/13</oddHeader>
    <oddFooter>&amp;CPage 34</oddFooter>
  </headerFooter>
</worksheet>
</file>

<file path=xl/worksheets/sheet27.xml><?xml version="1.0" encoding="utf-8"?>
<worksheet xmlns="http://schemas.openxmlformats.org/spreadsheetml/2006/main" xmlns:r="http://schemas.openxmlformats.org/officeDocument/2006/relationships">
  <sheetPr codeName="Sheet26"/>
  <dimension ref="A1:G13"/>
  <sheetViews>
    <sheetView view="pageLayout" topLeftCell="A7" zoomScaleNormal="90" workbookViewId="0">
      <selection activeCell="B46" sqref="B46"/>
    </sheetView>
  </sheetViews>
  <sheetFormatPr defaultRowHeight="15"/>
  <cols>
    <col min="1" max="1" width="4" style="20" customWidth="1"/>
    <col min="2" max="2" width="45.140625" style="13" customWidth="1"/>
    <col min="3" max="3" width="3.140625" style="13" customWidth="1"/>
    <col min="4" max="4" width="15.5703125" style="14" bestFit="1" customWidth="1"/>
    <col min="5" max="5" width="2.42578125" style="13" customWidth="1"/>
    <col min="6" max="6" width="15.5703125" style="13" bestFit="1" customWidth="1"/>
    <col min="7" max="7" width="1" style="13" customWidth="1"/>
    <col min="8" max="16384" width="9.140625" style="13"/>
  </cols>
  <sheetData>
    <row r="1" spans="1:7">
      <c r="A1" s="58"/>
      <c r="B1" s="19"/>
      <c r="C1" s="19"/>
      <c r="D1" s="173"/>
      <c r="E1" s="19"/>
      <c r="F1" s="19"/>
      <c r="G1" s="19"/>
    </row>
    <row r="2" spans="1:7" s="14" customFormat="1">
      <c r="A2" s="29">
        <v>30</v>
      </c>
      <c r="B2" s="14" t="s">
        <v>317</v>
      </c>
    </row>
    <row r="3" spans="1:7">
      <c r="D3" s="59">
        <f xml:space="preserve"> This_year_ended</f>
        <v>41364</v>
      </c>
      <c r="E3" s="60"/>
      <c r="F3" s="60">
        <f>Last_year_ended</f>
        <v>40999</v>
      </c>
    </row>
    <row r="4" spans="1:7">
      <c r="D4" s="12" t="s">
        <v>24</v>
      </c>
      <c r="F4" s="128" t="s">
        <v>24</v>
      </c>
    </row>
    <row r="5" spans="1:7">
      <c r="A5" s="29"/>
      <c r="B5" s="14" t="str">
        <f xml:space="preserve"> "Balance at " &amp; TEXT(This_year_beginning, "d mmmm yyyy")</f>
        <v>Balance at 1 April 2012</v>
      </c>
      <c r="C5" s="14"/>
      <c r="D5" s="293">
        <f>F7</f>
        <v>22788</v>
      </c>
      <c r="E5" s="225"/>
      <c r="F5" s="294">
        <v>17295</v>
      </c>
    </row>
    <row r="6" spans="1:7" ht="14.25">
      <c r="B6" s="46" t="s">
        <v>318</v>
      </c>
      <c r="D6" s="375">
        <v>8156</v>
      </c>
      <c r="E6" s="225"/>
      <c r="F6" s="225">
        <v>5493</v>
      </c>
    </row>
    <row r="7" spans="1:7" ht="15.75" thickBot="1">
      <c r="A7" s="29"/>
      <c r="B7" s="14" t="str">
        <f xml:space="preserve"> "Balance at " &amp; TEXT(This_year_ended, "d mmmm yyyy")</f>
        <v>Balance at 31 March 2013</v>
      </c>
      <c r="C7" s="14"/>
      <c r="D7" s="226">
        <f>SUM(D5:D6)</f>
        <v>30944</v>
      </c>
      <c r="E7" s="225"/>
      <c r="F7" s="227">
        <f>SUM(F5:F6)</f>
        <v>22788</v>
      </c>
    </row>
    <row r="8" spans="1:7" thickTop="1">
      <c r="D8" s="239"/>
      <c r="E8" s="225"/>
      <c r="F8" s="225"/>
    </row>
    <row r="9" spans="1:7" ht="14.25">
      <c r="B9" s="46" t="s">
        <v>321</v>
      </c>
      <c r="D9" s="239"/>
      <c r="E9" s="225"/>
      <c r="F9" s="225"/>
    </row>
    <row r="10" spans="1:7" ht="14.25">
      <c r="B10" s="282" t="s">
        <v>319</v>
      </c>
      <c r="D10" s="375">
        <v>30705</v>
      </c>
      <c r="E10" s="225"/>
      <c r="F10" s="225">
        <v>7514</v>
      </c>
    </row>
    <row r="11" spans="1:7" ht="14.25">
      <c r="B11" s="282" t="s">
        <v>320</v>
      </c>
      <c r="D11" s="375">
        <v>239</v>
      </c>
      <c r="E11" s="225"/>
      <c r="F11" s="225">
        <v>15274</v>
      </c>
    </row>
    <row r="12" spans="1:7" ht="30.75" thickBot="1">
      <c r="A12" s="29"/>
      <c r="B12" s="123" t="s">
        <v>446</v>
      </c>
      <c r="C12" s="14"/>
      <c r="D12" s="226">
        <f>SUM(D10:D11)</f>
        <v>30944</v>
      </c>
      <c r="E12" s="225"/>
      <c r="F12" s="227">
        <f>SUM(F10:F11)</f>
        <v>22788</v>
      </c>
    </row>
    <row r="13" spans="1:7" ht="15.75" thickTop="1"/>
  </sheetData>
  <pageMargins left="0.70866141732283472" right="0.70866141732283472" top="0.62992125984251968" bottom="0.74803149606299213" header="0.39370078740157483" footer="0.31496062992125984"/>
  <pageSetup paperSize="9" orientation="portrait" verticalDpi="200" r:id="rId1"/>
  <headerFooter scaleWithDoc="0">
    <oddHeader>&amp;COxford Health NHS Foundation Trust - Annual Accounts 2012/13</oddHeader>
    <oddFooter>&amp;CPage 35</oddFooter>
  </headerFooter>
</worksheet>
</file>

<file path=xl/worksheets/sheet28.xml><?xml version="1.0" encoding="utf-8"?>
<worksheet xmlns="http://schemas.openxmlformats.org/spreadsheetml/2006/main" xmlns:r="http://schemas.openxmlformats.org/officeDocument/2006/relationships">
  <sheetPr codeName="Sheet27"/>
  <dimension ref="A1:G26"/>
  <sheetViews>
    <sheetView view="pageLayout" topLeftCell="A34" zoomScale="90" zoomScalePageLayoutView="90" workbookViewId="0">
      <selection activeCell="B46" sqref="B46"/>
    </sheetView>
  </sheetViews>
  <sheetFormatPr defaultRowHeight="14.25"/>
  <cols>
    <col min="1" max="1" width="5.5703125" style="20" bestFit="1" customWidth="1"/>
    <col min="2" max="2" width="32" style="13" customWidth="1"/>
    <col min="3" max="3" width="7" style="13" bestFit="1" customWidth="1"/>
    <col min="4" max="4" width="12.5703125" style="13" customWidth="1"/>
    <col min="5" max="5" width="15.5703125" style="13" customWidth="1"/>
    <col min="6" max="6" width="11" style="13" customWidth="1"/>
    <col min="7" max="7" width="1.42578125" style="13" customWidth="1"/>
    <col min="8" max="8" width="4.140625" style="13" customWidth="1"/>
    <col min="9" max="16384" width="9.140625" style="13"/>
  </cols>
  <sheetData>
    <row r="1" spans="1:7">
      <c r="A1" s="58"/>
      <c r="B1" s="19"/>
      <c r="C1" s="19"/>
      <c r="D1" s="19"/>
      <c r="E1" s="19"/>
      <c r="F1" s="19"/>
      <c r="G1" s="19"/>
    </row>
    <row r="2" spans="1:7" s="14" customFormat="1" ht="15">
      <c r="A2" s="29">
        <v>31</v>
      </c>
      <c r="B2" s="14" t="s">
        <v>364</v>
      </c>
    </row>
    <row r="4" spans="1:7" s="14" customFormat="1" ht="15">
      <c r="A4" s="29">
        <v>31.1</v>
      </c>
      <c r="B4" s="14" t="s">
        <v>365</v>
      </c>
    </row>
    <row r="5" spans="1:7" ht="38.25" customHeight="1">
      <c r="B5" s="670" t="str">
        <f>Trust_name &amp; " has a pooled budget arrangement with Oxfordshire County Council. " &amp; Trust_name &amp; " is the host."</f>
        <v>Oxford Health NHS Foundation Trust has a pooled budget arrangement with Oxfordshire County Council. Oxford Health NHS Foundation Trust is the host.</v>
      </c>
      <c r="C5" s="670"/>
      <c r="D5" s="670"/>
      <c r="E5" s="670"/>
      <c r="F5" s="670"/>
      <c r="G5" s="670"/>
    </row>
    <row r="7" spans="1:7" s="14" customFormat="1" ht="15" customHeight="1">
      <c r="A7" s="679" t="s">
        <v>651</v>
      </c>
      <c r="B7" s="679"/>
      <c r="C7" s="679"/>
      <c r="D7" s="679"/>
      <c r="E7" s="679"/>
      <c r="F7" s="679"/>
      <c r="G7" s="679"/>
    </row>
    <row r="8" spans="1:7" ht="6.75" customHeight="1"/>
    <row r="9" spans="1:7" s="288" customFormat="1" ht="30">
      <c r="A9" s="287"/>
      <c r="C9" s="48" t="s">
        <v>366</v>
      </c>
      <c r="D9" s="48" t="s">
        <v>367</v>
      </c>
      <c r="E9" s="48" t="s">
        <v>592</v>
      </c>
    </row>
    <row r="10" spans="1:7" s="48" customFormat="1" ht="15">
      <c r="C10" s="296" t="s">
        <v>24</v>
      </c>
      <c r="D10" s="296" t="s">
        <v>24</v>
      </c>
      <c r="E10" s="296" t="s">
        <v>24</v>
      </c>
    </row>
    <row r="11" spans="1:7">
      <c r="B11" s="46" t="s">
        <v>368</v>
      </c>
      <c r="C11" s="394">
        <v>8160.86</v>
      </c>
      <c r="D11" s="42">
        <v>8199.4818303489592</v>
      </c>
      <c r="E11" s="44">
        <f>D11-C11</f>
        <v>38.62183034895952</v>
      </c>
    </row>
    <row r="12" spans="1:7">
      <c r="B12" s="46" t="s">
        <v>369</v>
      </c>
      <c r="C12" s="394">
        <f>2368.511-111</f>
        <v>2257.511</v>
      </c>
      <c r="D12" s="397">
        <f>2379.72014095103-111</f>
        <v>2268.7201409510299</v>
      </c>
      <c r="E12" s="44">
        <f>D12-C12</f>
        <v>11.209140951029894</v>
      </c>
    </row>
    <row r="13" spans="1:7" s="14" customFormat="1" ht="15">
      <c r="A13" s="29"/>
      <c r="B13" s="46" t="s">
        <v>371</v>
      </c>
      <c r="C13" s="44">
        <v>111</v>
      </c>
      <c r="D13" s="42">
        <v>111</v>
      </c>
      <c r="E13" s="44">
        <v>0</v>
      </c>
    </row>
    <row r="14" spans="1:7" ht="15.75" thickBot="1">
      <c r="B14" s="14" t="s">
        <v>372</v>
      </c>
      <c r="C14" s="57">
        <f>SUM(C11:C13)</f>
        <v>10529.370999999999</v>
      </c>
      <c r="D14" s="57">
        <f>SUM(D11:D13)</f>
        <v>10579.20197129999</v>
      </c>
      <c r="E14" s="57">
        <f>SUM(E11:E13)</f>
        <v>49.830971299989415</v>
      </c>
    </row>
    <row r="15" spans="1:7" ht="15" thickTop="1">
      <c r="B15" s="182"/>
      <c r="C15" s="182"/>
    </row>
    <row r="16" spans="1:7" s="14" customFormat="1" ht="15">
      <c r="A16" s="29"/>
      <c r="B16" s="679" t="s">
        <v>373</v>
      </c>
      <c r="C16" s="679"/>
      <c r="D16" s="679"/>
      <c r="E16" s="679"/>
    </row>
    <row r="18" spans="1:5" s="14" customFormat="1" ht="45">
      <c r="A18" s="29"/>
      <c r="B18" s="288"/>
      <c r="C18" s="48" t="s">
        <v>53</v>
      </c>
      <c r="D18" s="48" t="s">
        <v>374</v>
      </c>
      <c r="E18" s="48" t="s">
        <v>375</v>
      </c>
    </row>
    <row r="19" spans="1:5" ht="14.25" customHeight="1">
      <c r="B19" s="120"/>
      <c r="C19" s="296" t="s">
        <v>24</v>
      </c>
      <c r="D19" s="296" t="s">
        <v>24</v>
      </c>
      <c r="E19" s="296" t="s">
        <v>24</v>
      </c>
    </row>
    <row r="20" spans="1:5" s="288" customFormat="1" ht="15">
      <c r="A20" s="287"/>
      <c r="B20" s="46" t="s">
        <v>376</v>
      </c>
      <c r="C20" s="42">
        <f>SUM(D20:E20)</f>
        <v>9533.4330450999969</v>
      </c>
      <c r="D20" s="395">
        <v>7343.711624968174</v>
      </c>
      <c r="E20" s="396">
        <v>2189.7214201318234</v>
      </c>
    </row>
    <row r="21" spans="1:5" s="120" customFormat="1" ht="15">
      <c r="B21" s="46" t="s">
        <v>377</v>
      </c>
      <c r="C21" s="42">
        <f t="shared" ref="C21:C23" si="0">SUM(D21:E21)</f>
        <v>934.7689261999999</v>
      </c>
      <c r="D21" s="395">
        <v>855.77020538078966</v>
      </c>
      <c r="E21" s="396">
        <v>78.998720819210178</v>
      </c>
    </row>
    <row r="22" spans="1:5">
      <c r="B22" s="46" t="s">
        <v>81</v>
      </c>
      <c r="C22" s="42">
        <f t="shared" si="0"/>
        <v>0</v>
      </c>
      <c r="D22" s="395">
        <v>0</v>
      </c>
      <c r="E22" s="396">
        <v>0</v>
      </c>
    </row>
    <row r="23" spans="1:5">
      <c r="B23" s="46" t="s">
        <v>378</v>
      </c>
      <c r="C23" s="42">
        <f t="shared" si="0"/>
        <v>111</v>
      </c>
      <c r="D23" s="395">
        <v>0</v>
      </c>
      <c r="E23" s="396">
        <v>111</v>
      </c>
    </row>
    <row r="24" spans="1:5" ht="15.75" thickBot="1">
      <c r="B24" s="14"/>
      <c r="C24" s="57">
        <f>SUM(C20:C23)</f>
        <v>10579.201971299997</v>
      </c>
      <c r="D24" s="57">
        <f>SUM(D20:D23)</f>
        <v>8199.4818303489628</v>
      </c>
      <c r="E24" s="57">
        <f t="shared" ref="E24" si="1">SUM(E20:E23)</f>
        <v>2379.7201409510335</v>
      </c>
    </row>
    <row r="25" spans="1:5" ht="15" thickTop="1"/>
    <row r="26" spans="1:5" s="14" customFormat="1" ht="15">
      <c r="A26" s="29"/>
      <c r="B26" s="13"/>
      <c r="C26" s="13"/>
      <c r="D26" s="13"/>
      <c r="E26" s="13"/>
    </row>
  </sheetData>
  <mergeCells count="3">
    <mergeCell ref="B16:E16"/>
    <mergeCell ref="A7:G7"/>
    <mergeCell ref="B5:G5"/>
  </mergeCells>
  <pageMargins left="0.70866141732283472" right="0.70866141732283472" top="0.62992125984251968" bottom="0.74803149606299213" header="0.39370078740157483" footer="0.31496062992125984"/>
  <pageSetup paperSize="9" fitToHeight="2" orientation="portrait" horizontalDpi="300" verticalDpi="300" r:id="rId1"/>
  <headerFooter scaleWithDoc="0">
    <oddHeader>&amp;COxford Health NHS Foundation Trust - Annual Accounts 2012/13</oddHeader>
    <oddFooter>&amp;CPage 36</oddFooter>
    <evenHeader xml:space="preserve">&amp;COxford Health NHS Foundation Trust - Annual Accounts 2010/11 </evenHeader>
    <evenFooter>&amp;CPage 37</evenFooter>
    <firstHeader>&amp;COxford Health NHS Foundation Trust - Annual Accounts 2011/12</firstHeader>
    <firstFooter>&amp;CPage 35</firstFooter>
  </headerFooter>
</worksheet>
</file>

<file path=xl/worksheets/sheet29.xml><?xml version="1.0" encoding="utf-8"?>
<worksheet xmlns="http://schemas.openxmlformats.org/spreadsheetml/2006/main" xmlns:r="http://schemas.openxmlformats.org/officeDocument/2006/relationships">
  <dimension ref="A1:F43"/>
  <sheetViews>
    <sheetView view="pageLayout" topLeftCell="A10" zoomScaleNormal="100" workbookViewId="0">
      <selection activeCell="B46" sqref="B46"/>
    </sheetView>
  </sheetViews>
  <sheetFormatPr defaultRowHeight="14.25"/>
  <cols>
    <col min="1" max="1" width="5.5703125" style="20" bestFit="1" customWidth="1"/>
    <col min="2" max="2" width="34.85546875" style="13" customWidth="1"/>
    <col min="3" max="3" width="12" style="13" customWidth="1"/>
    <col min="4" max="4" width="13.5703125" style="13" customWidth="1"/>
    <col min="5" max="5" width="16.140625" style="13" customWidth="1"/>
    <col min="6" max="6" width="1.5703125" style="13" customWidth="1"/>
    <col min="7" max="7" width="9.140625" style="13"/>
    <col min="8" max="8" width="4.140625" style="13" customWidth="1"/>
    <col min="9" max="16384" width="9.140625" style="13"/>
  </cols>
  <sheetData>
    <row r="1" spans="1:6">
      <c r="A1" s="58"/>
      <c r="B1" s="19"/>
      <c r="C1" s="19"/>
      <c r="D1" s="19"/>
      <c r="E1" s="19"/>
      <c r="F1" s="19"/>
    </row>
    <row r="2" spans="1:6" ht="15">
      <c r="A2" s="29">
        <v>31.2</v>
      </c>
      <c r="B2" s="14" t="s">
        <v>403</v>
      </c>
      <c r="C2" s="14"/>
      <c r="D2" s="14"/>
      <c r="E2" s="14"/>
    </row>
    <row r="3" spans="1:6" ht="37.5" customHeight="1">
      <c r="B3" s="673" t="str">
        <f>Trust_name &amp; " has two pooled budget arrangements with Buckinghamshire County Council. " &amp; Trust_name &amp; " is the host."</f>
        <v>Oxford Health NHS Foundation Trust has two pooled budget arrangements with Buckinghamshire County Council. Oxford Health NHS Foundation Trust is the host.</v>
      </c>
      <c r="C3" s="673"/>
      <c r="D3" s="673"/>
      <c r="E3" s="673"/>
    </row>
    <row r="4" spans="1:6" ht="15" customHeight="1"/>
    <row r="5" spans="1:6" s="14" customFormat="1" ht="15" customHeight="1">
      <c r="A5" s="679" t="s">
        <v>653</v>
      </c>
      <c r="B5" s="679"/>
      <c r="C5" s="679"/>
      <c r="D5" s="679"/>
      <c r="E5" s="679"/>
      <c r="F5" s="679"/>
    </row>
    <row r="6" spans="1:6" ht="6.75" customHeight="1">
      <c r="B6" s="297"/>
      <c r="C6" s="297"/>
      <c r="D6" s="297"/>
      <c r="E6" s="297"/>
    </row>
    <row r="7" spans="1:6" ht="41.25" customHeight="1">
      <c r="B7" s="288"/>
      <c r="C7" s="48" t="s">
        <v>366</v>
      </c>
      <c r="D7" s="48" t="s">
        <v>367</v>
      </c>
      <c r="E7" s="48" t="s">
        <v>592</v>
      </c>
    </row>
    <row r="8" spans="1:6" ht="15">
      <c r="B8" s="48"/>
      <c r="C8" s="296" t="s">
        <v>24</v>
      </c>
      <c r="D8" s="296" t="s">
        <v>24</v>
      </c>
      <c r="E8" s="296" t="s">
        <v>24</v>
      </c>
    </row>
    <row r="9" spans="1:6">
      <c r="B9" s="566" t="s">
        <v>368</v>
      </c>
      <c r="C9" s="42">
        <v>6145.6239999999998</v>
      </c>
      <c r="D9" s="42">
        <v>6111.0772879035503</v>
      </c>
      <c r="E9" s="44">
        <f>D9-C9</f>
        <v>-34.546712096449482</v>
      </c>
    </row>
    <row r="10" spans="1:6">
      <c r="B10" s="566" t="s">
        <v>405</v>
      </c>
      <c r="C10" s="397">
        <v>2444.817</v>
      </c>
      <c r="D10" s="42">
        <v>2427.95474209644</v>
      </c>
      <c r="E10" s="44">
        <f t="shared" ref="E10:E11" si="0">D10-C10</f>
        <v>-16.862257903560021</v>
      </c>
    </row>
    <row r="11" spans="1:6" ht="15" thickBot="1">
      <c r="B11" s="566" t="s">
        <v>370</v>
      </c>
      <c r="C11" s="45">
        <f>SUM(C9:C10)</f>
        <v>8590.4409999999989</v>
      </c>
      <c r="D11" s="45">
        <f>SUM(D9:D10)</f>
        <v>8539.0320299999912</v>
      </c>
      <c r="E11" s="45">
        <f t="shared" si="0"/>
        <v>-51.408970000007685</v>
      </c>
    </row>
    <row r="12" spans="1:6" ht="15" customHeight="1" thickTop="1">
      <c r="B12" s="566" t="s">
        <v>406</v>
      </c>
      <c r="C12" s="44">
        <v>99.188000000000002</v>
      </c>
      <c r="D12" s="44">
        <v>99.188000000000002</v>
      </c>
      <c r="E12" s="44">
        <f t="shared" ref="E12" si="1">D12-C12</f>
        <v>0</v>
      </c>
    </row>
    <row r="13" spans="1:6" ht="15" customHeight="1" thickBot="1">
      <c r="B13" s="14" t="s">
        <v>372</v>
      </c>
      <c r="C13" s="57">
        <f>SUM(C12,C11)</f>
        <v>8689.628999999999</v>
      </c>
      <c r="D13" s="57">
        <f>SUM(D12,D11)</f>
        <v>8638.2200299999913</v>
      </c>
      <c r="E13" s="57">
        <f t="shared" ref="E13" si="2">D13-C13</f>
        <v>-51.408970000007685</v>
      </c>
    </row>
    <row r="14" spans="1:6" ht="15" customHeight="1" thickTop="1"/>
    <row r="15" spans="1:6" ht="15" customHeight="1">
      <c r="B15" s="679" t="s">
        <v>373</v>
      </c>
      <c r="C15" s="679"/>
      <c r="D15" s="679"/>
      <c r="E15" s="679"/>
    </row>
    <row r="16" spans="1:6" ht="31.5" customHeight="1">
      <c r="B16" s="288"/>
      <c r="C16" s="48" t="s">
        <v>53</v>
      </c>
      <c r="D16" s="48" t="s">
        <v>374</v>
      </c>
      <c r="E16" s="48" t="s">
        <v>404</v>
      </c>
    </row>
    <row r="17" spans="2:5" ht="15">
      <c r="B17" s="120"/>
      <c r="C17" s="296" t="s">
        <v>24</v>
      </c>
      <c r="D17" s="296" t="s">
        <v>24</v>
      </c>
      <c r="E17" s="296" t="s">
        <v>24</v>
      </c>
    </row>
    <row r="18" spans="2:5">
      <c r="B18" s="46" t="s">
        <v>376</v>
      </c>
      <c r="C18" s="42">
        <f>SUM(D18:E18)</f>
        <v>7341.8433319999895</v>
      </c>
      <c r="D18" s="395">
        <v>5340.2081527935297</v>
      </c>
      <c r="E18" s="395">
        <v>2001.63517920646</v>
      </c>
    </row>
    <row r="19" spans="2:5">
      <c r="B19" s="46" t="s">
        <v>377</v>
      </c>
      <c r="C19" s="42">
        <f t="shared" ref="C19:C21" si="3">SUM(D19:E19)</f>
        <v>1213.8651479999999</v>
      </c>
      <c r="D19" s="395">
        <v>781.30510785461195</v>
      </c>
      <c r="E19" s="395">
        <v>432.56004014538797</v>
      </c>
    </row>
    <row r="20" spans="2:5">
      <c r="B20" s="46" t="s">
        <v>81</v>
      </c>
      <c r="C20" s="42">
        <f t="shared" si="3"/>
        <v>-16.676450000000038</v>
      </c>
      <c r="D20" s="42">
        <v>-10.435972744592499</v>
      </c>
      <c r="E20" s="42">
        <v>-6.2404772554075398</v>
      </c>
    </row>
    <row r="21" spans="2:5">
      <c r="B21" s="46" t="s">
        <v>378</v>
      </c>
      <c r="C21" s="42">
        <f t="shared" si="3"/>
        <v>99.188000000000002</v>
      </c>
      <c r="D21" s="395">
        <v>0</v>
      </c>
      <c r="E21" s="395">
        <v>99.188000000000002</v>
      </c>
    </row>
    <row r="22" spans="2:5" ht="15" thickBot="1">
      <c r="B22" s="240"/>
      <c r="C22" s="57">
        <f>SUM(C18:C21)</f>
        <v>8638.2200299999895</v>
      </c>
      <c r="D22" s="57">
        <f>SUM(D18:D21)</f>
        <v>6111.0772879035494</v>
      </c>
      <c r="E22" s="57">
        <f>SUM(E18:E21)</f>
        <v>2527.1427420964405</v>
      </c>
    </row>
    <row r="23" spans="2:5" ht="15" thickTop="1"/>
    <row r="24" spans="2:5" ht="15">
      <c r="B24" s="679" t="s">
        <v>652</v>
      </c>
      <c r="C24" s="679"/>
      <c r="D24" s="679"/>
      <c r="E24" s="679"/>
    </row>
    <row r="25" spans="2:5" ht="6.75" customHeight="1">
      <c r="B25" s="297"/>
      <c r="C25" s="297"/>
      <c r="D25" s="297"/>
      <c r="E25" s="297"/>
    </row>
    <row r="26" spans="2:5" ht="29.25" customHeight="1">
      <c r="B26" s="288"/>
      <c r="C26" s="48" t="s">
        <v>366</v>
      </c>
      <c r="D26" s="48" t="s">
        <v>367</v>
      </c>
      <c r="E26" s="48" t="s">
        <v>592</v>
      </c>
    </row>
    <row r="27" spans="2:5" ht="15">
      <c r="B27" s="48"/>
      <c r="C27" s="296" t="s">
        <v>24</v>
      </c>
      <c r="D27" s="296" t="s">
        <v>24</v>
      </c>
      <c r="E27" s="296" t="s">
        <v>24</v>
      </c>
    </row>
    <row r="28" spans="2:5">
      <c r="B28" s="566" t="s">
        <v>368</v>
      </c>
      <c r="C28" s="44">
        <v>1850.4870000000001</v>
      </c>
      <c r="D28" s="44">
        <v>1854.1573317897301</v>
      </c>
      <c r="E28" s="44">
        <f>D28-C28</f>
        <v>3.6703317897299712</v>
      </c>
    </row>
    <row r="29" spans="2:5">
      <c r="B29" s="566" t="s">
        <v>405</v>
      </c>
      <c r="C29" s="394">
        <v>1084.5940000000001</v>
      </c>
      <c r="D29" s="44">
        <v>1086.7452282102699</v>
      </c>
      <c r="E29" s="44">
        <f t="shared" ref="E29:E30" si="4">D29-C29</f>
        <v>2.1512282102698919</v>
      </c>
    </row>
    <row r="30" spans="2:5" ht="15" thickBot="1">
      <c r="B30" s="566" t="s">
        <v>370</v>
      </c>
      <c r="C30" s="45">
        <f>SUM(C28:C29)</f>
        <v>2935.0810000000001</v>
      </c>
      <c r="D30" s="45">
        <f>SUM(D28:D29)</f>
        <v>2940.90256</v>
      </c>
      <c r="E30" s="45">
        <f t="shared" si="4"/>
        <v>5.8215599999998631</v>
      </c>
    </row>
    <row r="31" spans="2:5" ht="15" thickTop="1">
      <c r="B31" s="566" t="s">
        <v>406</v>
      </c>
      <c r="C31" s="44">
        <v>41.304000000000002</v>
      </c>
      <c r="D31" s="44">
        <v>41.304000000000002</v>
      </c>
      <c r="E31" s="44">
        <f t="shared" ref="E31" si="5">D31-C31</f>
        <v>0</v>
      </c>
    </row>
    <row r="32" spans="2:5" ht="15.75" thickBot="1">
      <c r="B32" s="14" t="s">
        <v>372</v>
      </c>
      <c r="C32" s="57">
        <f>SUM(C31,C30)</f>
        <v>2976.3850000000002</v>
      </c>
      <c r="D32" s="57">
        <f>SUM(D31,D30)</f>
        <v>2982.2065600000001</v>
      </c>
      <c r="E32" s="57">
        <f t="shared" ref="E32" si="6">D32-C32</f>
        <v>5.8215599999998631</v>
      </c>
    </row>
    <row r="33" spans="2:5" ht="11.25" customHeight="1" thickTop="1">
      <c r="C33" s="122"/>
      <c r="D33" s="122"/>
      <c r="E33" s="122"/>
    </row>
    <row r="34" spans="2:5" ht="15.75" customHeight="1">
      <c r="B34" s="679" t="s">
        <v>373</v>
      </c>
      <c r="C34" s="679"/>
      <c r="D34" s="679"/>
      <c r="E34" s="679"/>
    </row>
    <row r="35" spans="2:5" ht="11.25" customHeight="1"/>
    <row r="36" spans="2:5" ht="33" customHeight="1">
      <c r="B36" s="288"/>
      <c r="C36" s="48" t="s">
        <v>53</v>
      </c>
      <c r="D36" s="48" t="s">
        <v>374</v>
      </c>
      <c r="E36" s="48" t="s">
        <v>404</v>
      </c>
    </row>
    <row r="37" spans="2:5" ht="15">
      <c r="B37" s="120"/>
      <c r="C37" s="296" t="s">
        <v>24</v>
      </c>
      <c r="D37" s="296" t="s">
        <v>24</v>
      </c>
      <c r="E37" s="296" t="s">
        <v>24</v>
      </c>
    </row>
    <row r="38" spans="2:5">
      <c r="B38" s="566" t="s">
        <v>376</v>
      </c>
      <c r="C38" s="42">
        <f>SUM(D38:E38)</f>
        <v>2726.3030400000021</v>
      </c>
      <c r="D38" s="44">
        <v>1770.87685539632</v>
      </c>
      <c r="E38" s="44">
        <v>955.42618460368203</v>
      </c>
    </row>
    <row r="39" spans="2:5">
      <c r="B39" s="566" t="s">
        <v>377</v>
      </c>
      <c r="C39" s="42">
        <f t="shared" ref="C39:C41" si="7">SUM(D39:E39)</f>
        <v>230.32175000000029</v>
      </c>
      <c r="D39" s="44">
        <v>88.524889231762302</v>
      </c>
      <c r="E39" s="44">
        <v>141.79686076823799</v>
      </c>
    </row>
    <row r="40" spans="2:5">
      <c r="B40" s="566" t="s">
        <v>81</v>
      </c>
      <c r="C40" s="42">
        <f t="shared" si="7"/>
        <v>-15.72222999999998</v>
      </c>
      <c r="D40" s="44">
        <v>-5.2444128383543802</v>
      </c>
      <c r="E40" s="44">
        <v>-10.4778171616456</v>
      </c>
    </row>
    <row r="41" spans="2:5">
      <c r="B41" s="566" t="s">
        <v>378</v>
      </c>
      <c r="C41" s="42">
        <f t="shared" si="7"/>
        <v>41.304000000000002</v>
      </c>
      <c r="D41" s="44">
        <v>0</v>
      </c>
      <c r="E41" s="44">
        <v>41.304000000000002</v>
      </c>
    </row>
    <row r="42" spans="2:5" ht="15" thickBot="1">
      <c r="B42" s="240"/>
      <c r="C42" s="57">
        <f>SUM(C38:C41)</f>
        <v>2982.2065600000028</v>
      </c>
      <c r="D42" s="57">
        <f t="shared" ref="D42:E42" si="8">SUM(D38:D41)</f>
        <v>1854.1573317897278</v>
      </c>
      <c r="E42" s="57">
        <f t="shared" si="8"/>
        <v>1128.0492282102746</v>
      </c>
    </row>
    <row r="43" spans="2:5" ht="15" thickTop="1"/>
  </sheetData>
  <mergeCells count="5">
    <mergeCell ref="B24:E24"/>
    <mergeCell ref="B34:E34"/>
    <mergeCell ref="B3:E3"/>
    <mergeCell ref="B15:E15"/>
    <mergeCell ref="A5:F5"/>
  </mergeCells>
  <pageMargins left="0.70866141732283472" right="0.70866141732283472" top="0.78740157480314965" bottom="0.74803149606299213" header="0.51181102362204722" footer="0.31496062992125984"/>
  <pageSetup paperSize="9" scale="95" fitToHeight="2" orientation="portrait" verticalDpi="300" r:id="rId1"/>
  <headerFooter scaleWithDoc="0">
    <oddHeader>&amp;COxford Health NHS Foundation Trust - Annual Accounts 2012/13</oddHeader>
    <oddFooter>&amp;CPage 37</oddFooter>
    <evenHeader xml:space="preserve">&amp;COxford Health NHS Foundation Trust - Annual Accounts 2010/11 </evenHeader>
    <evenFooter>&amp;CPage 37</evenFooter>
    <firstHeader xml:space="preserve">&amp;COxford Health NHS Foundation Trust - Annual Accounts 2011/12 </firstHeader>
    <firstFooter>&amp;CPage 36</firstFooter>
  </headerFooter>
</worksheet>
</file>

<file path=xl/worksheets/sheet3.xml><?xml version="1.0" encoding="utf-8"?>
<worksheet xmlns="http://schemas.openxmlformats.org/spreadsheetml/2006/main" xmlns:r="http://schemas.openxmlformats.org/officeDocument/2006/relationships">
  <sheetPr codeName="Sheet4">
    <pageSetUpPr fitToPage="1"/>
  </sheetPr>
  <dimension ref="A1:H318"/>
  <sheetViews>
    <sheetView view="pageLayout" topLeftCell="A31" zoomScale="70" zoomScaleNormal="55" zoomScalePageLayoutView="70" workbookViewId="0">
      <selection activeCell="B46" sqref="B46"/>
    </sheetView>
  </sheetViews>
  <sheetFormatPr defaultRowHeight="15.75"/>
  <cols>
    <col min="1" max="1" width="60.42578125" style="356" customWidth="1"/>
    <col min="2" max="2" width="6.5703125" style="357" customWidth="1"/>
    <col min="3" max="3" width="3.140625" style="357" customWidth="1"/>
    <col min="4" max="4" width="10.5703125" style="356" customWidth="1"/>
    <col min="5" max="5" width="11.7109375" style="356" customWidth="1"/>
    <col min="6" max="6" width="2.140625" style="356" customWidth="1"/>
    <col min="7" max="7" width="9.85546875" style="356" customWidth="1"/>
    <col min="8" max="8" width="13.85546875" style="356" customWidth="1"/>
    <col min="9" max="16384" width="9.140625" style="356"/>
  </cols>
  <sheetData>
    <row r="1" spans="1:8" s="355" customFormat="1">
      <c r="A1" s="644"/>
      <c r="B1" s="644"/>
      <c r="C1" s="644"/>
      <c r="D1" s="644"/>
      <c r="E1" s="644"/>
      <c r="F1" s="644"/>
      <c r="G1" s="644"/>
      <c r="H1" s="644"/>
    </row>
    <row r="4" spans="1:8">
      <c r="A4" s="643" t="s">
        <v>8</v>
      </c>
      <c r="B4" s="643"/>
      <c r="C4" s="643"/>
      <c r="D4" s="643"/>
      <c r="E4" s="643"/>
      <c r="F4" s="643"/>
      <c r="G4" s="643"/>
      <c r="H4" s="643"/>
    </row>
    <row r="5" spans="1:8">
      <c r="A5" s="645">
        <f>Intro!B28</f>
        <v>41364</v>
      </c>
      <c r="B5" s="645"/>
      <c r="C5" s="645"/>
      <c r="D5" s="645"/>
      <c r="E5" s="645"/>
      <c r="F5" s="645"/>
      <c r="G5" s="645"/>
      <c r="H5" s="645"/>
    </row>
    <row r="6" spans="1:8">
      <c r="A6" s="115"/>
      <c r="B6" s="280"/>
      <c r="C6" s="497"/>
      <c r="D6" s="115"/>
      <c r="E6" s="115"/>
      <c r="F6" s="115"/>
      <c r="G6" s="115"/>
      <c r="H6" s="115"/>
    </row>
    <row r="7" spans="1:8">
      <c r="A7" s="115"/>
      <c r="B7" s="280"/>
      <c r="C7" s="497"/>
      <c r="D7" s="115"/>
      <c r="E7" s="139" t="str">
        <f>This_year</f>
        <v>2012/13</v>
      </c>
      <c r="F7" s="115"/>
      <c r="G7" s="115"/>
      <c r="H7" s="138" t="str">
        <f>Last_year</f>
        <v>2011/12</v>
      </c>
    </row>
    <row r="8" spans="1:8">
      <c r="A8" s="115"/>
      <c r="B8" s="280"/>
      <c r="C8" s="497"/>
      <c r="D8" s="138"/>
      <c r="F8" s="138"/>
      <c r="G8" s="138"/>
      <c r="H8" s="546"/>
    </row>
    <row r="9" spans="1:8">
      <c r="A9" s="115"/>
      <c r="B9" s="280" t="s">
        <v>9</v>
      </c>
      <c r="C9" s="497"/>
      <c r="D9" s="139"/>
      <c r="E9" s="139" t="s">
        <v>24</v>
      </c>
      <c r="F9" s="139"/>
      <c r="G9" s="138"/>
      <c r="H9" s="138" t="s">
        <v>24</v>
      </c>
    </row>
    <row r="10" spans="1:8">
      <c r="A10" s="115"/>
      <c r="B10" s="580"/>
      <c r="C10" s="140"/>
      <c r="D10" s="141"/>
      <c r="E10" s="142"/>
      <c r="F10" s="141"/>
      <c r="G10" s="141"/>
      <c r="H10" s="149"/>
    </row>
    <row r="11" spans="1:8" s="207" customFormat="1">
      <c r="A11" s="143" t="s">
        <v>10</v>
      </c>
      <c r="B11" s="580" t="s">
        <v>396</v>
      </c>
      <c r="C11" s="398"/>
      <c r="D11" s="144"/>
      <c r="E11" s="369">
        <v>279797</v>
      </c>
      <c r="F11" s="144"/>
      <c r="G11" s="141"/>
      <c r="H11" s="547">
        <v>272509</v>
      </c>
    </row>
    <row r="12" spans="1:8">
      <c r="A12" s="145"/>
      <c r="B12" s="580"/>
      <c r="C12" s="398"/>
      <c r="D12" s="141"/>
      <c r="E12" s="142"/>
      <c r="F12" s="141"/>
      <c r="G12" s="141"/>
      <c r="H12" s="149"/>
    </row>
    <row r="13" spans="1:8" s="207" customFormat="1">
      <c r="A13" s="143" t="s">
        <v>11</v>
      </c>
      <c r="B13" s="580">
        <v>7</v>
      </c>
      <c r="C13" s="398"/>
      <c r="D13" s="144"/>
      <c r="E13" s="369">
        <v>-272210</v>
      </c>
      <c r="F13" s="144"/>
      <c r="G13" s="141"/>
      <c r="H13" s="547">
        <v>-265483</v>
      </c>
    </row>
    <row r="14" spans="1:8">
      <c r="A14" s="145"/>
      <c r="B14" s="580"/>
      <c r="C14" s="156"/>
      <c r="D14" s="141"/>
      <c r="E14" s="146"/>
      <c r="F14" s="141"/>
      <c r="G14" s="141"/>
      <c r="H14" s="548"/>
    </row>
    <row r="15" spans="1:8" s="207" customFormat="1">
      <c r="A15" s="143" t="s">
        <v>12</v>
      </c>
      <c r="B15" s="580"/>
      <c r="C15" s="156"/>
      <c r="D15" s="144"/>
      <c r="E15" s="144">
        <f>SUM(E11,E13)</f>
        <v>7587</v>
      </c>
      <c r="F15" s="144"/>
      <c r="G15" s="141"/>
      <c r="H15" s="141">
        <f>SUM(H11,H13)</f>
        <v>7026</v>
      </c>
    </row>
    <row r="16" spans="1:8">
      <c r="A16" s="145"/>
      <c r="B16" s="580"/>
      <c r="C16" s="156"/>
      <c r="D16" s="141"/>
      <c r="E16" s="147"/>
      <c r="F16" s="141"/>
      <c r="G16" s="141"/>
      <c r="H16" s="147"/>
    </row>
    <row r="17" spans="1:8" s="207" customFormat="1">
      <c r="A17" s="143" t="s">
        <v>13</v>
      </c>
      <c r="B17" s="580"/>
      <c r="C17" s="156"/>
      <c r="D17" s="144"/>
      <c r="E17" s="144"/>
      <c r="F17" s="144"/>
      <c r="G17" s="141"/>
      <c r="H17" s="141"/>
    </row>
    <row r="18" spans="1:8">
      <c r="A18" s="145"/>
      <c r="B18" s="580"/>
      <c r="C18" s="156"/>
      <c r="D18" s="141"/>
      <c r="E18" s="141"/>
      <c r="F18" s="141"/>
      <c r="G18" s="141"/>
      <c r="H18" s="141"/>
    </row>
    <row r="19" spans="1:8">
      <c r="A19" s="148" t="s">
        <v>14</v>
      </c>
      <c r="B19" s="580">
        <v>16</v>
      </c>
      <c r="C19" s="398"/>
      <c r="D19" s="144">
        <v>172</v>
      </c>
      <c r="F19" s="141"/>
      <c r="G19" s="141">
        <v>251</v>
      </c>
    </row>
    <row r="20" spans="1:8">
      <c r="A20" s="148"/>
      <c r="B20" s="581"/>
      <c r="C20" s="399"/>
      <c r="D20" s="207"/>
      <c r="F20" s="141"/>
      <c r="G20" s="141"/>
    </row>
    <row r="21" spans="1:8">
      <c r="A21" s="148" t="s">
        <v>15</v>
      </c>
      <c r="B21" s="580">
        <v>17</v>
      </c>
      <c r="C21" s="398"/>
      <c r="D21" s="144">
        <v>-1545</v>
      </c>
      <c r="F21" s="141"/>
      <c r="G21" s="141">
        <v>-1326</v>
      </c>
    </row>
    <row r="22" spans="1:8">
      <c r="A22" s="148"/>
      <c r="B22" s="580"/>
      <c r="C22" s="398"/>
      <c r="D22" s="144"/>
      <c r="F22" s="141"/>
      <c r="G22" s="141"/>
    </row>
    <row r="23" spans="1:8">
      <c r="A23" s="148" t="s">
        <v>515</v>
      </c>
      <c r="B23" s="580">
        <v>17</v>
      </c>
      <c r="C23" s="398"/>
      <c r="D23" s="144">
        <v>-57</v>
      </c>
      <c r="F23" s="141"/>
      <c r="G23" s="141">
        <v>-43</v>
      </c>
    </row>
    <row r="24" spans="1:8">
      <c r="A24" s="148"/>
      <c r="B24" s="580"/>
      <c r="C24" s="398"/>
      <c r="D24" s="141"/>
      <c r="F24" s="141"/>
      <c r="G24" s="141"/>
    </row>
    <row r="25" spans="1:8">
      <c r="A25" s="148" t="s">
        <v>16</v>
      </c>
      <c r="B25" s="580">
        <v>37</v>
      </c>
      <c r="C25" s="398"/>
      <c r="D25" s="370">
        <v>-3395</v>
      </c>
      <c r="F25" s="141"/>
      <c r="G25" s="549">
        <v>-3731</v>
      </c>
    </row>
    <row r="26" spans="1:8">
      <c r="A26" s="145"/>
      <c r="B26" s="580"/>
      <c r="C26" s="140"/>
      <c r="D26" s="141"/>
      <c r="E26" s="141"/>
      <c r="F26" s="141"/>
      <c r="G26" s="141"/>
      <c r="H26" s="141"/>
    </row>
    <row r="27" spans="1:8" s="207" customFormat="1">
      <c r="A27" s="143" t="s">
        <v>17</v>
      </c>
      <c r="B27" s="580"/>
      <c r="C27" s="140"/>
      <c r="D27" s="144"/>
      <c r="E27" s="150">
        <f>SUM(D19:D25)</f>
        <v>-4825</v>
      </c>
      <c r="F27" s="144"/>
      <c r="G27" s="141"/>
      <c r="H27" s="550">
        <f>SUM(G19:G25)</f>
        <v>-4849</v>
      </c>
    </row>
    <row r="28" spans="1:8">
      <c r="A28" s="145"/>
      <c r="B28" s="580"/>
      <c r="C28" s="140"/>
      <c r="D28" s="141"/>
      <c r="E28" s="141"/>
      <c r="F28" s="141"/>
      <c r="G28" s="141"/>
      <c r="H28" s="141"/>
    </row>
    <row r="29" spans="1:8" s="207" customFormat="1">
      <c r="A29" s="143" t="s">
        <v>18</v>
      </c>
      <c r="B29" s="580"/>
      <c r="C29" s="140"/>
      <c r="D29" s="151"/>
      <c r="E29" s="142">
        <f>E15+E27</f>
        <v>2762</v>
      </c>
      <c r="F29" s="144"/>
      <c r="G29" s="147"/>
      <c r="H29" s="149">
        <f>H15+H27</f>
        <v>2177</v>
      </c>
    </row>
    <row r="30" spans="1:8">
      <c r="A30" s="145"/>
      <c r="B30" s="580"/>
      <c r="C30" s="140"/>
      <c r="D30" s="141"/>
      <c r="E30" s="142"/>
      <c r="F30" s="141"/>
      <c r="G30" s="141"/>
      <c r="H30" s="149"/>
    </row>
    <row r="31" spans="1:8" s="207" customFormat="1">
      <c r="A31" s="143" t="s">
        <v>19</v>
      </c>
      <c r="B31" s="580"/>
      <c r="C31" s="140"/>
      <c r="D31" s="144"/>
      <c r="E31" s="142">
        <v>0</v>
      </c>
      <c r="F31" s="144"/>
      <c r="G31" s="141"/>
      <c r="H31" s="149">
        <v>0</v>
      </c>
    </row>
    <row r="32" spans="1:8">
      <c r="A32" s="145"/>
      <c r="B32" s="580"/>
      <c r="C32" s="140"/>
      <c r="D32" s="141"/>
      <c r="E32" s="141"/>
      <c r="F32" s="141"/>
      <c r="G32" s="141"/>
      <c r="H32" s="141"/>
    </row>
    <row r="33" spans="1:8" s="207" customFormat="1">
      <c r="A33" s="143" t="s">
        <v>849</v>
      </c>
      <c r="B33" s="580"/>
      <c r="C33" s="140"/>
      <c r="D33" s="144"/>
      <c r="E33" s="152">
        <f>SUM(E29:E32)</f>
        <v>2762</v>
      </c>
      <c r="F33" s="144"/>
      <c r="G33" s="141"/>
      <c r="H33" s="551">
        <f>SUM(H29:H32)</f>
        <v>2177</v>
      </c>
    </row>
    <row r="34" spans="1:8" ht="87.75" customHeight="1">
      <c r="A34" s="145"/>
      <c r="B34" s="580"/>
      <c r="C34" s="140"/>
      <c r="D34" s="141"/>
      <c r="E34" s="141"/>
      <c r="F34" s="141"/>
      <c r="G34" s="141"/>
      <c r="H34" s="141"/>
    </row>
    <row r="35" spans="1:8" s="207" customFormat="1">
      <c r="A35" s="143" t="s">
        <v>20</v>
      </c>
      <c r="B35" s="580"/>
      <c r="C35" s="140"/>
      <c r="D35" s="144"/>
      <c r="E35" s="144"/>
      <c r="F35" s="144"/>
      <c r="G35" s="141"/>
      <c r="H35" s="141"/>
    </row>
    <row r="36" spans="1:8" s="207" customFormat="1">
      <c r="A36" s="143"/>
      <c r="B36" s="580"/>
      <c r="C36" s="140"/>
      <c r="D36" s="144"/>
      <c r="E36" s="144"/>
      <c r="F36" s="144"/>
      <c r="G36" s="141"/>
      <c r="H36" s="141"/>
    </row>
    <row r="37" spans="1:8" s="207" customFormat="1" ht="30.75" customHeight="1">
      <c r="A37" s="143" t="s">
        <v>850</v>
      </c>
      <c r="B37" s="580" t="s">
        <v>769</v>
      </c>
      <c r="C37" s="398"/>
      <c r="D37" s="144"/>
      <c r="E37" s="153">
        <v>-1886</v>
      </c>
      <c r="F37" s="144"/>
      <c r="G37" s="141"/>
      <c r="H37" s="552">
        <v>3384</v>
      </c>
    </row>
    <row r="38" spans="1:8">
      <c r="A38" s="145"/>
      <c r="B38" s="580"/>
      <c r="C38" s="156"/>
      <c r="D38" s="141"/>
      <c r="E38" s="153"/>
      <c r="F38" s="141"/>
      <c r="G38" s="141"/>
      <c r="H38" s="552"/>
    </row>
    <row r="39" spans="1:8" s="207" customFormat="1" ht="31.5">
      <c r="A39" s="143" t="s">
        <v>21</v>
      </c>
      <c r="B39" s="580" t="s">
        <v>818</v>
      </c>
      <c r="C39" s="140"/>
      <c r="D39" s="144"/>
      <c r="E39" s="153">
        <v>42</v>
      </c>
      <c r="F39" s="153"/>
      <c r="G39" s="552"/>
      <c r="H39" s="552">
        <v>-372</v>
      </c>
    </row>
    <row r="40" spans="1:8">
      <c r="A40" s="145"/>
      <c r="B40" s="580"/>
      <c r="C40" s="140"/>
      <c r="D40" s="141"/>
      <c r="E40" s="153"/>
      <c r="F40" s="153"/>
      <c r="G40" s="552"/>
      <c r="H40" s="552"/>
    </row>
    <row r="41" spans="1:8">
      <c r="A41" s="143" t="s">
        <v>699</v>
      </c>
      <c r="B41" s="156"/>
      <c r="C41" s="140"/>
      <c r="D41" s="141"/>
      <c r="E41" s="153">
        <v>0</v>
      </c>
      <c r="F41" s="153"/>
      <c r="G41" s="552"/>
      <c r="H41" s="552">
        <v>0</v>
      </c>
    </row>
    <row r="42" spans="1:8">
      <c r="A42" s="145"/>
      <c r="B42" s="156"/>
      <c r="C42" s="140"/>
      <c r="D42" s="141"/>
      <c r="E42" s="153"/>
      <c r="F42" s="141"/>
      <c r="G42" s="141"/>
      <c r="H42" s="552"/>
    </row>
    <row r="43" spans="1:8" s="207" customFormat="1" ht="34.5" customHeight="1" thickBot="1">
      <c r="A43" s="154" t="s">
        <v>22</v>
      </c>
      <c r="B43" s="156"/>
      <c r="C43" s="140"/>
      <c r="D43" s="158"/>
      <c r="E43" s="155">
        <f>SUM(E33:E41)</f>
        <v>918</v>
      </c>
      <c r="F43" s="158"/>
      <c r="G43" s="553"/>
      <c r="H43" s="554">
        <f>SUM(H33:H40)</f>
        <v>5189</v>
      </c>
    </row>
    <row r="44" spans="1:8" ht="16.5" thickTop="1">
      <c r="A44" s="145"/>
      <c r="B44" s="280"/>
      <c r="C44" s="497"/>
      <c r="D44" s="138"/>
      <c r="E44" s="138"/>
      <c r="F44" s="138"/>
      <c r="G44" s="138"/>
      <c r="H44" s="138"/>
    </row>
    <row r="45" spans="1:8">
      <c r="A45" s="115"/>
      <c r="B45" s="280"/>
      <c r="C45" s="497"/>
      <c r="D45" s="138"/>
      <c r="E45" s="138"/>
      <c r="F45" s="138"/>
      <c r="G45" s="138"/>
      <c r="H45" s="138"/>
    </row>
    <row r="46" spans="1:8" ht="30.75" customHeight="1">
      <c r="A46" s="646" t="s">
        <v>23</v>
      </c>
      <c r="B46" s="646"/>
      <c r="C46" s="646"/>
      <c r="D46" s="646"/>
      <c r="E46" s="646"/>
      <c r="F46" s="646"/>
      <c r="G46" s="646"/>
      <c r="H46" s="646"/>
    </row>
    <row r="47" spans="1:8">
      <c r="A47" s="115"/>
      <c r="B47" s="280"/>
      <c r="C47" s="497"/>
      <c r="D47" s="138"/>
      <c r="E47" s="138"/>
      <c r="F47" s="138"/>
      <c r="G47" s="138"/>
      <c r="H47" s="138"/>
    </row>
    <row r="48" spans="1:8" ht="15.75" customHeight="1"/>
    <row r="49" spans="1:8" ht="15.75" customHeight="1"/>
    <row r="50" spans="1:8">
      <c r="A50" s="115"/>
      <c r="B50" s="280"/>
      <c r="C50" s="497"/>
      <c r="D50" s="115"/>
      <c r="E50" s="115"/>
      <c r="F50" s="115"/>
      <c r="G50" s="115"/>
      <c r="H50" s="115"/>
    </row>
    <row r="51" spans="1:8">
      <c r="A51" s="115"/>
      <c r="B51" s="280"/>
      <c r="C51" s="497"/>
      <c r="D51" s="115"/>
      <c r="E51" s="115"/>
      <c r="F51" s="115"/>
      <c r="G51" s="115"/>
      <c r="H51" s="115"/>
    </row>
    <row r="52" spans="1:8">
      <c r="A52" s="115"/>
      <c r="B52" s="280"/>
      <c r="C52" s="497"/>
      <c r="D52" s="115"/>
      <c r="E52" s="115"/>
      <c r="F52" s="115"/>
      <c r="G52" s="115"/>
      <c r="H52" s="115"/>
    </row>
    <row r="53" spans="1:8">
      <c r="A53" s="115"/>
      <c r="B53" s="280"/>
      <c r="C53" s="497"/>
      <c r="D53" s="115"/>
      <c r="E53" s="115"/>
      <c r="F53" s="115"/>
      <c r="G53" s="115"/>
      <c r="H53" s="115"/>
    </row>
    <row r="54" spans="1:8">
      <c r="A54" s="115"/>
      <c r="B54" s="280"/>
      <c r="C54" s="497"/>
      <c r="D54" s="115"/>
      <c r="E54" s="115"/>
      <c r="F54" s="115"/>
      <c r="G54" s="115"/>
      <c r="H54" s="115"/>
    </row>
    <row r="55" spans="1:8">
      <c r="A55" s="115"/>
      <c r="B55" s="280"/>
      <c r="C55" s="497"/>
      <c r="D55" s="115"/>
      <c r="E55" s="115"/>
      <c r="F55" s="115"/>
      <c r="G55" s="115"/>
      <c r="H55" s="115"/>
    </row>
    <row r="56" spans="1:8">
      <c r="A56" s="115"/>
      <c r="B56" s="280"/>
      <c r="C56" s="497"/>
      <c r="D56" s="115"/>
      <c r="E56" s="115"/>
      <c r="F56" s="115"/>
      <c r="G56" s="115"/>
      <c r="H56" s="115"/>
    </row>
    <row r="57" spans="1:8">
      <c r="A57" s="115"/>
      <c r="B57" s="280"/>
      <c r="C57" s="497"/>
      <c r="D57" s="115"/>
      <c r="E57" s="115"/>
      <c r="F57" s="115"/>
      <c r="G57" s="115"/>
      <c r="H57" s="115"/>
    </row>
    <row r="58" spans="1:8">
      <c r="A58" s="115"/>
      <c r="B58" s="280"/>
      <c r="C58" s="497"/>
      <c r="D58" s="115"/>
      <c r="E58" s="115"/>
      <c r="F58" s="115"/>
      <c r="G58" s="115"/>
      <c r="H58" s="115"/>
    </row>
    <row r="59" spans="1:8">
      <c r="A59" s="115"/>
      <c r="B59" s="280"/>
      <c r="C59" s="497"/>
      <c r="D59" s="115"/>
      <c r="E59" s="115"/>
      <c r="F59" s="115"/>
      <c r="G59" s="115"/>
      <c r="H59" s="115"/>
    </row>
    <row r="60" spans="1:8">
      <c r="A60" s="115"/>
      <c r="B60" s="280"/>
      <c r="C60" s="497"/>
      <c r="D60" s="115"/>
      <c r="E60" s="115"/>
      <c r="F60" s="115"/>
      <c r="G60" s="115"/>
      <c r="H60" s="115"/>
    </row>
    <row r="61" spans="1:8">
      <c r="A61" s="115"/>
      <c r="B61" s="280"/>
      <c r="C61" s="497"/>
      <c r="D61" s="115"/>
      <c r="E61" s="115"/>
      <c r="F61" s="115"/>
      <c r="G61" s="115"/>
      <c r="H61" s="115"/>
    </row>
    <row r="62" spans="1:8">
      <c r="A62" s="115"/>
      <c r="B62" s="280"/>
      <c r="C62" s="497"/>
      <c r="D62" s="115"/>
      <c r="E62" s="115"/>
      <c r="F62" s="115"/>
      <c r="G62" s="115"/>
      <c r="H62" s="115"/>
    </row>
    <row r="63" spans="1:8">
      <c r="A63" s="115"/>
      <c r="B63" s="280"/>
      <c r="C63" s="497"/>
      <c r="D63" s="115"/>
      <c r="E63" s="115"/>
      <c r="F63" s="115"/>
      <c r="G63" s="115"/>
      <c r="H63" s="115"/>
    </row>
    <row r="64" spans="1:8">
      <c r="A64" s="115"/>
      <c r="B64" s="280"/>
      <c r="C64" s="497"/>
      <c r="D64" s="115"/>
      <c r="E64" s="115"/>
      <c r="F64" s="115"/>
      <c r="G64" s="115"/>
      <c r="H64" s="115"/>
    </row>
    <row r="65" spans="1:8">
      <c r="A65" s="115"/>
      <c r="B65" s="280"/>
      <c r="C65" s="497"/>
      <c r="D65" s="115"/>
      <c r="E65" s="115"/>
      <c r="F65" s="115"/>
      <c r="G65" s="115"/>
      <c r="H65" s="115"/>
    </row>
    <row r="66" spans="1:8">
      <c r="A66" s="115"/>
      <c r="B66" s="280"/>
      <c r="C66" s="497"/>
      <c r="D66" s="115"/>
      <c r="E66" s="115"/>
      <c r="F66" s="115"/>
      <c r="G66" s="115"/>
      <c r="H66" s="115"/>
    </row>
    <row r="67" spans="1:8">
      <c r="A67" s="115"/>
      <c r="B67" s="280"/>
      <c r="C67" s="497"/>
      <c r="D67" s="115"/>
      <c r="E67" s="115"/>
      <c r="F67" s="115"/>
      <c r="G67" s="115"/>
      <c r="H67" s="115"/>
    </row>
    <row r="68" spans="1:8">
      <c r="A68" s="115"/>
      <c r="B68" s="280"/>
      <c r="C68" s="497"/>
      <c r="D68" s="115"/>
      <c r="E68" s="115"/>
      <c r="F68" s="115"/>
      <c r="G68" s="115"/>
      <c r="H68" s="115"/>
    </row>
    <row r="69" spans="1:8">
      <c r="A69" s="115"/>
      <c r="B69" s="280"/>
      <c r="C69" s="497"/>
      <c r="D69" s="115"/>
      <c r="E69" s="115"/>
      <c r="F69" s="115"/>
      <c r="G69" s="115"/>
      <c r="H69" s="115"/>
    </row>
    <row r="70" spans="1:8">
      <c r="A70" s="115"/>
      <c r="B70" s="280"/>
      <c r="C70" s="497"/>
      <c r="D70" s="115"/>
      <c r="E70" s="115"/>
      <c r="F70" s="115"/>
      <c r="G70" s="115"/>
      <c r="H70" s="115"/>
    </row>
    <row r="71" spans="1:8">
      <c r="A71" s="115"/>
      <c r="B71" s="280"/>
      <c r="C71" s="497"/>
      <c r="D71" s="115"/>
      <c r="E71" s="115"/>
      <c r="F71" s="115"/>
      <c r="G71" s="115"/>
      <c r="H71" s="115"/>
    </row>
    <row r="72" spans="1:8">
      <c r="A72" s="115"/>
      <c r="B72" s="280"/>
      <c r="C72" s="497"/>
      <c r="D72" s="115"/>
      <c r="E72" s="115"/>
      <c r="F72" s="115"/>
      <c r="G72" s="115"/>
      <c r="H72" s="115"/>
    </row>
    <row r="73" spans="1:8">
      <c r="A73" s="115"/>
      <c r="B73" s="280"/>
      <c r="C73" s="497"/>
      <c r="D73" s="115"/>
      <c r="E73" s="115"/>
      <c r="F73" s="115"/>
      <c r="G73" s="115"/>
      <c r="H73" s="115"/>
    </row>
    <row r="74" spans="1:8">
      <c r="A74" s="115"/>
      <c r="B74" s="280"/>
      <c r="C74" s="497"/>
      <c r="D74" s="115"/>
      <c r="E74" s="115"/>
      <c r="F74" s="115"/>
      <c r="G74" s="115"/>
      <c r="H74" s="115"/>
    </row>
    <row r="75" spans="1:8">
      <c r="A75" s="115"/>
      <c r="B75" s="280"/>
      <c r="C75" s="497"/>
      <c r="D75" s="115"/>
      <c r="E75" s="115"/>
      <c r="F75" s="115"/>
      <c r="G75" s="115"/>
      <c r="H75" s="115"/>
    </row>
    <row r="76" spans="1:8">
      <c r="A76" s="115"/>
      <c r="B76" s="280"/>
      <c r="C76" s="497"/>
      <c r="D76" s="115"/>
      <c r="E76" s="115"/>
      <c r="F76" s="115"/>
      <c r="G76" s="115"/>
      <c r="H76" s="115"/>
    </row>
    <row r="77" spans="1:8">
      <c r="A77" s="115"/>
      <c r="B77" s="280"/>
      <c r="C77" s="497"/>
      <c r="D77" s="115"/>
      <c r="E77" s="115"/>
      <c r="F77" s="115"/>
      <c r="G77" s="115"/>
      <c r="H77" s="115"/>
    </row>
    <row r="78" spans="1:8">
      <c r="A78" s="115"/>
      <c r="B78" s="280"/>
      <c r="C78" s="497"/>
      <c r="D78" s="115"/>
      <c r="E78" s="115"/>
      <c r="F78" s="115"/>
      <c r="G78" s="115"/>
      <c r="H78" s="115"/>
    </row>
    <row r="79" spans="1:8">
      <c r="A79" s="115"/>
      <c r="B79" s="280"/>
      <c r="C79" s="497"/>
      <c r="D79" s="115"/>
      <c r="E79" s="115"/>
      <c r="F79" s="115"/>
      <c r="G79" s="115"/>
      <c r="H79" s="115"/>
    </row>
    <row r="80" spans="1:8">
      <c r="A80" s="115"/>
      <c r="B80" s="280"/>
      <c r="C80" s="497"/>
      <c r="D80" s="115"/>
      <c r="E80" s="115"/>
      <c r="F80" s="115"/>
      <c r="G80" s="115"/>
      <c r="H80" s="115"/>
    </row>
    <row r="81" spans="1:8">
      <c r="A81" s="115"/>
      <c r="B81" s="280"/>
      <c r="C81" s="497"/>
      <c r="D81" s="115"/>
      <c r="E81" s="115"/>
      <c r="F81" s="115"/>
      <c r="G81" s="115"/>
      <c r="H81" s="115"/>
    </row>
    <row r="82" spans="1:8">
      <c r="A82" s="115"/>
      <c r="B82" s="280"/>
      <c r="C82" s="497"/>
      <c r="D82" s="115"/>
      <c r="E82" s="115"/>
      <c r="F82" s="115"/>
      <c r="G82" s="115"/>
      <c r="H82" s="115"/>
    </row>
    <row r="83" spans="1:8">
      <c r="A83" s="115"/>
      <c r="B83" s="280"/>
      <c r="C83" s="497"/>
      <c r="D83" s="115"/>
      <c r="E83" s="115"/>
      <c r="F83" s="115"/>
      <c r="G83" s="115"/>
      <c r="H83" s="115"/>
    </row>
    <row r="84" spans="1:8">
      <c r="A84" s="115"/>
      <c r="B84" s="280"/>
      <c r="C84" s="497"/>
      <c r="D84" s="115"/>
      <c r="E84" s="115"/>
      <c r="F84" s="115"/>
      <c r="G84" s="115"/>
      <c r="H84" s="115"/>
    </row>
    <row r="85" spans="1:8">
      <c r="A85" s="115"/>
      <c r="B85" s="280"/>
      <c r="C85" s="497"/>
      <c r="D85" s="115"/>
      <c r="E85" s="115"/>
      <c r="F85" s="115"/>
      <c r="G85" s="115"/>
      <c r="H85" s="115"/>
    </row>
    <row r="86" spans="1:8">
      <c r="A86" s="115"/>
      <c r="B86" s="280"/>
      <c r="C86" s="497"/>
      <c r="D86" s="115"/>
      <c r="E86" s="115"/>
      <c r="F86" s="115"/>
      <c r="G86" s="115"/>
      <c r="H86" s="115"/>
    </row>
    <row r="87" spans="1:8">
      <c r="A87" s="115"/>
      <c r="B87" s="280"/>
      <c r="C87" s="497"/>
      <c r="D87" s="115"/>
      <c r="E87" s="115"/>
      <c r="F87" s="115"/>
      <c r="G87" s="115"/>
      <c r="H87" s="115"/>
    </row>
    <row r="88" spans="1:8">
      <c r="A88" s="115"/>
      <c r="B88" s="280"/>
      <c r="C88" s="497"/>
      <c r="D88" s="115"/>
      <c r="E88" s="115"/>
      <c r="F88" s="115"/>
      <c r="G88" s="115"/>
      <c r="H88" s="115"/>
    </row>
    <row r="89" spans="1:8">
      <c r="A89" s="115"/>
      <c r="B89" s="280"/>
      <c r="C89" s="497"/>
      <c r="D89" s="115"/>
      <c r="E89" s="115"/>
      <c r="F89" s="115"/>
      <c r="G89" s="115"/>
      <c r="H89" s="115"/>
    </row>
    <row r="90" spans="1:8">
      <c r="A90" s="115"/>
      <c r="B90" s="280"/>
      <c r="C90" s="497"/>
      <c r="D90" s="115"/>
      <c r="E90" s="115"/>
      <c r="F90" s="115"/>
      <c r="G90" s="115"/>
      <c r="H90" s="115"/>
    </row>
    <row r="91" spans="1:8">
      <c r="A91" s="115"/>
      <c r="B91" s="280"/>
      <c r="C91" s="497"/>
      <c r="D91" s="115"/>
      <c r="E91" s="115"/>
      <c r="F91" s="115"/>
      <c r="G91" s="115"/>
      <c r="H91" s="115"/>
    </row>
    <row r="92" spans="1:8">
      <c r="A92" s="115"/>
      <c r="B92" s="280"/>
      <c r="C92" s="497"/>
      <c r="D92" s="115"/>
      <c r="E92" s="115"/>
      <c r="F92" s="115"/>
      <c r="G92" s="115"/>
      <c r="H92" s="115"/>
    </row>
    <row r="93" spans="1:8">
      <c r="A93" s="115"/>
      <c r="B93" s="280"/>
      <c r="C93" s="497"/>
      <c r="D93" s="115"/>
      <c r="E93" s="115"/>
      <c r="F93" s="115"/>
      <c r="G93" s="115"/>
      <c r="H93" s="115"/>
    </row>
    <row r="94" spans="1:8">
      <c r="A94" s="115"/>
      <c r="B94" s="280"/>
      <c r="C94" s="497"/>
      <c r="D94" s="115"/>
      <c r="E94" s="115"/>
      <c r="F94" s="115"/>
      <c r="G94" s="115"/>
      <c r="H94" s="115"/>
    </row>
    <row r="95" spans="1:8">
      <c r="A95" s="115"/>
      <c r="B95" s="280"/>
      <c r="C95" s="497"/>
      <c r="D95" s="115"/>
      <c r="E95" s="115"/>
      <c r="F95" s="115"/>
      <c r="G95" s="115"/>
      <c r="H95" s="115"/>
    </row>
    <row r="96" spans="1:8">
      <c r="A96" s="115"/>
      <c r="B96" s="280"/>
      <c r="C96" s="497"/>
      <c r="D96" s="115"/>
      <c r="E96" s="115"/>
      <c r="F96" s="115"/>
      <c r="G96" s="115"/>
      <c r="H96" s="115"/>
    </row>
    <row r="97" spans="1:8">
      <c r="A97" s="115"/>
      <c r="B97" s="280"/>
      <c r="C97" s="497"/>
      <c r="D97" s="115"/>
      <c r="E97" s="115"/>
      <c r="F97" s="115"/>
      <c r="G97" s="115"/>
      <c r="H97" s="115"/>
    </row>
    <row r="98" spans="1:8">
      <c r="A98" s="115"/>
      <c r="B98" s="280"/>
      <c r="C98" s="497"/>
      <c r="D98" s="115"/>
      <c r="E98" s="115"/>
      <c r="F98" s="115"/>
      <c r="G98" s="115"/>
      <c r="H98" s="115"/>
    </row>
    <row r="99" spans="1:8">
      <c r="A99" s="115"/>
      <c r="B99" s="280"/>
      <c r="C99" s="497"/>
      <c r="D99" s="115"/>
      <c r="E99" s="115"/>
      <c r="F99" s="115"/>
      <c r="G99" s="115"/>
      <c r="H99" s="115"/>
    </row>
    <row r="100" spans="1:8">
      <c r="A100" s="115"/>
      <c r="B100" s="280"/>
      <c r="C100" s="497"/>
      <c r="D100" s="115"/>
      <c r="E100" s="115"/>
      <c r="F100" s="115"/>
      <c r="G100" s="115"/>
      <c r="H100" s="115"/>
    </row>
    <row r="101" spans="1:8">
      <c r="A101" s="115"/>
      <c r="B101" s="280"/>
      <c r="C101" s="497"/>
      <c r="D101" s="115"/>
      <c r="E101" s="115"/>
      <c r="F101" s="115"/>
      <c r="G101" s="115"/>
      <c r="H101" s="115"/>
    </row>
    <row r="102" spans="1:8">
      <c r="A102" s="115"/>
      <c r="B102" s="280"/>
      <c r="C102" s="497"/>
      <c r="D102" s="115"/>
      <c r="E102" s="115"/>
      <c r="F102" s="115"/>
      <c r="G102" s="115"/>
      <c r="H102" s="115"/>
    </row>
    <row r="103" spans="1:8">
      <c r="A103" s="115"/>
      <c r="B103" s="280"/>
      <c r="C103" s="497"/>
      <c r="D103" s="115"/>
      <c r="E103" s="115"/>
      <c r="F103" s="115"/>
      <c r="G103" s="115"/>
      <c r="H103" s="115"/>
    </row>
    <row r="104" spans="1:8">
      <c r="A104" s="115"/>
      <c r="B104" s="280"/>
      <c r="C104" s="497"/>
      <c r="D104" s="115"/>
      <c r="E104" s="115"/>
      <c r="F104" s="115"/>
      <c r="G104" s="115"/>
      <c r="H104" s="115"/>
    </row>
    <row r="105" spans="1:8">
      <c r="A105" s="115"/>
      <c r="B105" s="280"/>
      <c r="C105" s="497"/>
      <c r="D105" s="115"/>
      <c r="E105" s="115"/>
      <c r="F105" s="115"/>
      <c r="G105" s="115"/>
      <c r="H105" s="115"/>
    </row>
    <row r="106" spans="1:8">
      <c r="A106" s="115"/>
      <c r="B106" s="280"/>
      <c r="C106" s="497"/>
      <c r="D106" s="115"/>
      <c r="E106" s="115"/>
      <c r="F106" s="115"/>
      <c r="G106" s="115"/>
      <c r="H106" s="115"/>
    </row>
    <row r="107" spans="1:8">
      <c r="A107" s="115"/>
      <c r="B107" s="280"/>
      <c r="C107" s="497"/>
      <c r="D107" s="115"/>
      <c r="E107" s="115"/>
      <c r="F107" s="115"/>
      <c r="G107" s="115"/>
      <c r="H107" s="115"/>
    </row>
    <row r="108" spans="1:8">
      <c r="A108" s="115"/>
      <c r="B108" s="280"/>
      <c r="C108" s="497"/>
      <c r="D108" s="115"/>
      <c r="E108" s="115"/>
      <c r="F108" s="115"/>
      <c r="G108" s="115"/>
      <c r="H108" s="115"/>
    </row>
    <row r="109" spans="1:8">
      <c r="A109" s="115"/>
      <c r="B109" s="280"/>
      <c r="C109" s="497"/>
      <c r="D109" s="115"/>
      <c r="E109" s="115"/>
      <c r="F109" s="115"/>
      <c r="G109" s="115"/>
      <c r="H109" s="115"/>
    </row>
    <row r="110" spans="1:8">
      <c r="A110" s="115"/>
      <c r="B110" s="280"/>
      <c r="C110" s="497"/>
      <c r="D110" s="115"/>
      <c r="E110" s="115"/>
      <c r="F110" s="115"/>
      <c r="G110" s="115"/>
      <c r="H110" s="115"/>
    </row>
    <row r="111" spans="1:8">
      <c r="A111" s="115"/>
      <c r="B111" s="280"/>
      <c r="C111" s="497"/>
      <c r="D111" s="115"/>
      <c r="E111" s="115"/>
      <c r="F111" s="115"/>
      <c r="G111" s="115"/>
      <c r="H111" s="115"/>
    </row>
    <row r="112" spans="1:8">
      <c r="A112" s="115"/>
      <c r="B112" s="280"/>
      <c r="C112" s="497"/>
      <c r="D112" s="115"/>
      <c r="E112" s="115"/>
      <c r="F112" s="115"/>
      <c r="G112" s="115"/>
      <c r="H112" s="115"/>
    </row>
    <row r="113" spans="1:8">
      <c r="A113" s="115"/>
      <c r="B113" s="280"/>
      <c r="C113" s="497"/>
      <c r="D113" s="115"/>
      <c r="E113" s="115"/>
      <c r="F113" s="115"/>
      <c r="G113" s="115"/>
      <c r="H113" s="115"/>
    </row>
    <row r="114" spans="1:8">
      <c r="A114" s="115"/>
      <c r="B114" s="280"/>
      <c r="C114" s="497"/>
      <c r="D114" s="115"/>
      <c r="E114" s="115"/>
      <c r="F114" s="115"/>
      <c r="G114" s="115"/>
      <c r="H114" s="115"/>
    </row>
    <row r="115" spans="1:8">
      <c r="A115" s="115"/>
      <c r="B115" s="280"/>
      <c r="C115" s="497"/>
      <c r="D115" s="115"/>
      <c r="E115" s="115"/>
      <c r="F115" s="115"/>
      <c r="G115" s="115"/>
      <c r="H115" s="115"/>
    </row>
    <row r="116" spans="1:8">
      <c r="A116" s="115"/>
      <c r="B116" s="280"/>
      <c r="C116" s="497"/>
      <c r="D116" s="115"/>
      <c r="E116" s="115"/>
      <c r="F116" s="115"/>
      <c r="G116" s="115"/>
      <c r="H116" s="115"/>
    </row>
    <row r="117" spans="1:8">
      <c r="A117" s="115"/>
      <c r="B117" s="280"/>
      <c r="C117" s="497"/>
      <c r="D117" s="115"/>
      <c r="E117" s="115"/>
      <c r="F117" s="115"/>
      <c r="G117" s="115"/>
      <c r="H117" s="115"/>
    </row>
    <row r="118" spans="1:8">
      <c r="A118" s="115"/>
      <c r="B118" s="280"/>
      <c r="C118" s="497"/>
      <c r="D118" s="115"/>
      <c r="E118" s="115"/>
      <c r="F118" s="115"/>
      <c r="G118" s="115"/>
      <c r="H118" s="115"/>
    </row>
    <row r="119" spans="1:8">
      <c r="A119" s="115"/>
      <c r="B119" s="280"/>
      <c r="C119" s="497"/>
      <c r="D119" s="115"/>
      <c r="E119" s="115"/>
      <c r="F119" s="115"/>
      <c r="G119" s="115"/>
      <c r="H119" s="115"/>
    </row>
    <row r="120" spans="1:8">
      <c r="A120" s="115"/>
      <c r="B120" s="280"/>
      <c r="C120" s="497"/>
      <c r="D120" s="115"/>
      <c r="E120" s="115"/>
      <c r="F120" s="115"/>
      <c r="G120" s="115"/>
      <c r="H120" s="115"/>
    </row>
    <row r="121" spans="1:8">
      <c r="A121" s="115"/>
      <c r="B121" s="280"/>
      <c r="C121" s="497"/>
      <c r="D121" s="115"/>
      <c r="E121" s="115"/>
      <c r="F121" s="115"/>
      <c r="G121" s="115"/>
      <c r="H121" s="115"/>
    </row>
    <row r="122" spans="1:8">
      <c r="A122" s="115"/>
      <c r="B122" s="280"/>
      <c r="C122" s="497"/>
      <c r="D122" s="115"/>
      <c r="E122" s="115"/>
      <c r="F122" s="115"/>
      <c r="G122" s="115"/>
      <c r="H122" s="115"/>
    </row>
    <row r="123" spans="1:8">
      <c r="A123" s="115"/>
      <c r="B123" s="280"/>
      <c r="C123" s="497"/>
      <c r="D123" s="115"/>
      <c r="E123" s="115"/>
      <c r="F123" s="115"/>
      <c r="G123" s="115"/>
      <c r="H123" s="115"/>
    </row>
    <row r="124" spans="1:8">
      <c r="A124" s="115"/>
      <c r="B124" s="280"/>
      <c r="C124" s="497"/>
      <c r="D124" s="115"/>
      <c r="E124" s="115"/>
      <c r="F124" s="115"/>
      <c r="G124" s="115"/>
      <c r="H124" s="115"/>
    </row>
    <row r="125" spans="1:8">
      <c r="A125" s="115"/>
      <c r="B125" s="280"/>
      <c r="C125" s="497"/>
      <c r="D125" s="115"/>
      <c r="E125" s="115"/>
      <c r="F125" s="115"/>
      <c r="G125" s="115"/>
      <c r="H125" s="115"/>
    </row>
    <row r="126" spans="1:8">
      <c r="A126" s="115"/>
      <c r="B126" s="280"/>
      <c r="C126" s="497"/>
      <c r="D126" s="115"/>
      <c r="E126" s="115"/>
      <c r="F126" s="115"/>
      <c r="G126" s="115"/>
      <c r="H126" s="115"/>
    </row>
    <row r="127" spans="1:8">
      <c r="A127" s="115"/>
      <c r="B127" s="280"/>
      <c r="C127" s="497"/>
      <c r="D127" s="115"/>
      <c r="E127" s="115"/>
      <c r="F127" s="115"/>
      <c r="G127" s="115"/>
      <c r="H127" s="115"/>
    </row>
    <row r="128" spans="1:8">
      <c r="A128" s="115"/>
      <c r="B128" s="280"/>
      <c r="C128" s="497"/>
      <c r="D128" s="115"/>
      <c r="E128" s="115"/>
      <c r="F128" s="115"/>
      <c r="G128" s="115"/>
      <c r="H128" s="115"/>
    </row>
    <row r="129" spans="1:8">
      <c r="A129" s="115"/>
      <c r="B129" s="280"/>
      <c r="C129" s="497"/>
      <c r="D129" s="115"/>
      <c r="E129" s="115"/>
      <c r="F129" s="115"/>
      <c r="G129" s="115"/>
      <c r="H129" s="115"/>
    </row>
    <row r="130" spans="1:8">
      <c r="A130" s="115"/>
      <c r="B130" s="280"/>
      <c r="C130" s="497"/>
      <c r="D130" s="115"/>
      <c r="E130" s="115"/>
      <c r="F130" s="115"/>
      <c r="G130" s="115"/>
      <c r="H130" s="115"/>
    </row>
    <row r="131" spans="1:8">
      <c r="A131" s="115"/>
      <c r="B131" s="280"/>
      <c r="C131" s="497"/>
      <c r="D131" s="115"/>
      <c r="E131" s="115"/>
      <c r="F131" s="115"/>
      <c r="G131" s="115"/>
      <c r="H131" s="115"/>
    </row>
    <row r="132" spans="1:8">
      <c r="A132" s="115"/>
      <c r="B132" s="280"/>
      <c r="C132" s="497"/>
      <c r="D132" s="115"/>
      <c r="E132" s="115"/>
      <c r="F132" s="115"/>
      <c r="G132" s="115"/>
      <c r="H132" s="115"/>
    </row>
    <row r="133" spans="1:8">
      <c r="A133" s="115"/>
      <c r="B133" s="280"/>
      <c r="C133" s="497"/>
      <c r="D133" s="115"/>
      <c r="E133" s="115"/>
      <c r="F133" s="115"/>
      <c r="G133" s="115"/>
      <c r="H133" s="115"/>
    </row>
    <row r="134" spans="1:8">
      <c r="A134" s="115"/>
      <c r="B134" s="280"/>
      <c r="C134" s="497"/>
      <c r="D134" s="115"/>
      <c r="E134" s="115"/>
      <c r="F134" s="115"/>
      <c r="G134" s="115"/>
      <c r="H134" s="115"/>
    </row>
    <row r="135" spans="1:8">
      <c r="A135" s="115"/>
      <c r="B135" s="280"/>
      <c r="C135" s="497"/>
      <c r="D135" s="115"/>
      <c r="E135" s="115"/>
      <c r="F135" s="115"/>
      <c r="G135" s="115"/>
      <c r="H135" s="115"/>
    </row>
    <row r="136" spans="1:8">
      <c r="A136" s="115"/>
      <c r="B136" s="280"/>
      <c r="C136" s="497"/>
      <c r="D136" s="115"/>
      <c r="E136" s="115"/>
      <c r="F136" s="115"/>
      <c r="G136" s="115"/>
      <c r="H136" s="115"/>
    </row>
    <row r="137" spans="1:8">
      <c r="A137" s="115"/>
      <c r="B137" s="280"/>
      <c r="C137" s="497"/>
      <c r="D137" s="115"/>
      <c r="E137" s="115"/>
      <c r="F137" s="115"/>
      <c r="G137" s="115"/>
      <c r="H137" s="115"/>
    </row>
    <row r="138" spans="1:8">
      <c r="A138" s="115"/>
      <c r="B138" s="280"/>
      <c r="C138" s="497"/>
      <c r="D138" s="115"/>
      <c r="E138" s="115"/>
      <c r="F138" s="115"/>
      <c r="G138" s="115"/>
      <c r="H138" s="115"/>
    </row>
    <row r="139" spans="1:8">
      <c r="A139" s="115"/>
      <c r="B139" s="280"/>
      <c r="C139" s="497"/>
      <c r="D139" s="115"/>
      <c r="E139" s="115"/>
      <c r="F139" s="115"/>
      <c r="G139" s="115"/>
      <c r="H139" s="115"/>
    </row>
    <row r="140" spans="1:8">
      <c r="A140" s="115"/>
      <c r="B140" s="280"/>
      <c r="C140" s="497"/>
      <c r="D140" s="115"/>
      <c r="E140" s="115"/>
      <c r="F140" s="115"/>
      <c r="G140" s="115"/>
      <c r="H140" s="115"/>
    </row>
    <row r="141" spans="1:8">
      <c r="A141" s="115"/>
      <c r="B141" s="280"/>
      <c r="C141" s="497"/>
      <c r="D141" s="115"/>
      <c r="E141" s="115"/>
      <c r="F141" s="115"/>
      <c r="G141" s="115"/>
      <c r="H141" s="115"/>
    </row>
    <row r="142" spans="1:8">
      <c r="A142" s="115"/>
      <c r="B142" s="280"/>
      <c r="C142" s="497"/>
      <c r="D142" s="115"/>
      <c r="E142" s="115"/>
      <c r="F142" s="115"/>
      <c r="G142" s="115"/>
      <c r="H142" s="115"/>
    </row>
    <row r="143" spans="1:8">
      <c r="A143" s="115"/>
      <c r="B143" s="280"/>
      <c r="C143" s="497"/>
      <c r="D143" s="115"/>
      <c r="E143" s="115"/>
      <c r="F143" s="115"/>
      <c r="G143" s="115"/>
      <c r="H143" s="115"/>
    </row>
    <row r="144" spans="1:8">
      <c r="A144" s="115"/>
      <c r="B144" s="280"/>
      <c r="C144" s="497"/>
      <c r="D144" s="115"/>
      <c r="E144" s="115"/>
      <c r="F144" s="115"/>
      <c r="G144" s="115"/>
      <c r="H144" s="115"/>
    </row>
    <row r="145" spans="1:8">
      <c r="A145" s="115"/>
      <c r="B145" s="280"/>
      <c r="C145" s="497"/>
      <c r="D145" s="115"/>
      <c r="E145" s="115"/>
      <c r="F145" s="115"/>
      <c r="G145" s="115"/>
      <c r="H145" s="115"/>
    </row>
    <row r="146" spans="1:8">
      <c r="A146" s="115"/>
      <c r="B146" s="280"/>
      <c r="C146" s="497"/>
      <c r="D146" s="115"/>
      <c r="E146" s="115"/>
      <c r="F146" s="115"/>
      <c r="G146" s="115"/>
      <c r="H146" s="115"/>
    </row>
    <row r="147" spans="1:8">
      <c r="A147" s="115"/>
      <c r="B147" s="280"/>
      <c r="C147" s="497"/>
      <c r="D147" s="115"/>
      <c r="E147" s="115"/>
      <c r="F147" s="115"/>
      <c r="G147" s="115"/>
      <c r="H147" s="115"/>
    </row>
    <row r="148" spans="1:8">
      <c r="A148" s="115"/>
      <c r="B148" s="280"/>
      <c r="C148" s="497"/>
      <c r="D148" s="115"/>
      <c r="E148" s="115"/>
      <c r="F148" s="115"/>
      <c r="G148" s="115"/>
      <c r="H148" s="115"/>
    </row>
    <row r="149" spans="1:8">
      <c r="A149" s="115"/>
      <c r="B149" s="280"/>
      <c r="C149" s="497"/>
      <c r="D149" s="115"/>
      <c r="E149" s="115"/>
      <c r="F149" s="115"/>
      <c r="G149" s="115"/>
      <c r="H149" s="115"/>
    </row>
    <row r="150" spans="1:8">
      <c r="A150" s="115"/>
      <c r="B150" s="280"/>
      <c r="C150" s="497"/>
      <c r="D150" s="115"/>
      <c r="E150" s="115"/>
      <c r="F150" s="115"/>
      <c r="G150" s="115"/>
      <c r="H150" s="115"/>
    </row>
    <row r="151" spans="1:8">
      <c r="A151" s="115"/>
      <c r="B151" s="280"/>
      <c r="C151" s="497"/>
      <c r="D151" s="115"/>
      <c r="E151" s="115"/>
      <c r="F151" s="115"/>
      <c r="G151" s="115"/>
      <c r="H151" s="115"/>
    </row>
    <row r="152" spans="1:8">
      <c r="A152" s="115"/>
      <c r="B152" s="280"/>
      <c r="C152" s="497"/>
      <c r="D152" s="115"/>
      <c r="E152" s="115"/>
      <c r="F152" s="115"/>
      <c r="G152" s="115"/>
      <c r="H152" s="115"/>
    </row>
    <row r="153" spans="1:8">
      <c r="A153" s="115"/>
      <c r="B153" s="280"/>
      <c r="C153" s="497"/>
      <c r="D153" s="115"/>
      <c r="E153" s="115"/>
      <c r="F153" s="115"/>
      <c r="G153" s="115"/>
      <c r="H153" s="115"/>
    </row>
    <row r="154" spans="1:8">
      <c r="A154" s="115"/>
      <c r="B154" s="280"/>
      <c r="C154" s="497"/>
      <c r="D154" s="115"/>
      <c r="E154" s="115"/>
      <c r="F154" s="115"/>
      <c r="G154" s="115"/>
      <c r="H154" s="115"/>
    </row>
    <row r="155" spans="1:8">
      <c r="A155" s="115"/>
      <c r="B155" s="280"/>
      <c r="C155" s="497"/>
      <c r="D155" s="115"/>
      <c r="E155" s="115"/>
      <c r="F155" s="115"/>
      <c r="G155" s="115"/>
      <c r="H155" s="115"/>
    </row>
    <row r="156" spans="1:8">
      <c r="A156" s="115"/>
      <c r="B156" s="280"/>
      <c r="C156" s="497"/>
      <c r="D156" s="115"/>
      <c r="E156" s="115"/>
      <c r="F156" s="115"/>
      <c r="G156" s="115"/>
      <c r="H156" s="115"/>
    </row>
    <row r="157" spans="1:8">
      <c r="A157" s="115"/>
      <c r="B157" s="280"/>
      <c r="C157" s="497"/>
      <c r="D157" s="115"/>
      <c r="E157" s="115"/>
      <c r="F157" s="115"/>
      <c r="G157" s="115"/>
      <c r="H157" s="115"/>
    </row>
    <row r="158" spans="1:8">
      <c r="A158" s="115"/>
      <c r="B158" s="280"/>
      <c r="C158" s="497"/>
      <c r="D158" s="115"/>
      <c r="E158" s="115"/>
      <c r="F158" s="115"/>
      <c r="G158" s="115"/>
      <c r="H158" s="115"/>
    </row>
    <row r="159" spans="1:8">
      <c r="A159" s="115"/>
      <c r="B159" s="280"/>
      <c r="C159" s="497"/>
      <c r="D159" s="115"/>
      <c r="E159" s="115"/>
      <c r="F159" s="115"/>
      <c r="G159" s="115"/>
      <c r="H159" s="115"/>
    </row>
    <row r="160" spans="1:8">
      <c r="A160" s="115"/>
      <c r="B160" s="280"/>
      <c r="C160" s="497"/>
      <c r="D160" s="115"/>
      <c r="E160" s="115"/>
      <c r="F160" s="115"/>
      <c r="G160" s="115"/>
      <c r="H160" s="115"/>
    </row>
    <row r="161" spans="1:8">
      <c r="A161" s="115"/>
      <c r="B161" s="280"/>
      <c r="C161" s="497"/>
      <c r="D161" s="115"/>
      <c r="E161" s="115"/>
      <c r="F161" s="115"/>
      <c r="G161" s="115"/>
      <c r="H161" s="115"/>
    </row>
    <row r="162" spans="1:8">
      <c r="A162" s="115"/>
      <c r="B162" s="280"/>
      <c r="C162" s="497"/>
      <c r="D162" s="115"/>
      <c r="E162" s="115"/>
      <c r="F162" s="115"/>
      <c r="G162" s="115"/>
      <c r="H162" s="115"/>
    </row>
    <row r="163" spans="1:8">
      <c r="A163" s="115"/>
      <c r="B163" s="280"/>
      <c r="C163" s="497"/>
      <c r="D163" s="115"/>
      <c r="E163" s="115"/>
      <c r="F163" s="115"/>
      <c r="G163" s="115"/>
      <c r="H163" s="115"/>
    </row>
    <row r="164" spans="1:8">
      <c r="A164" s="115"/>
      <c r="B164" s="280"/>
      <c r="C164" s="497"/>
      <c r="D164" s="115"/>
      <c r="E164" s="115"/>
      <c r="F164" s="115"/>
      <c r="G164" s="115"/>
      <c r="H164" s="115"/>
    </row>
    <row r="165" spans="1:8">
      <c r="A165" s="115"/>
      <c r="B165" s="280"/>
      <c r="C165" s="497"/>
      <c r="D165" s="115"/>
      <c r="E165" s="115"/>
      <c r="F165" s="115"/>
      <c r="G165" s="115"/>
      <c r="H165" s="115"/>
    </row>
    <row r="166" spans="1:8">
      <c r="A166" s="115"/>
      <c r="B166" s="280"/>
      <c r="C166" s="497"/>
      <c r="D166" s="115"/>
      <c r="E166" s="115"/>
      <c r="F166" s="115"/>
      <c r="G166" s="115"/>
      <c r="H166" s="115"/>
    </row>
    <row r="167" spans="1:8">
      <c r="A167" s="115"/>
      <c r="B167" s="280"/>
      <c r="C167" s="497"/>
      <c r="D167" s="115"/>
      <c r="E167" s="115"/>
      <c r="F167" s="115"/>
      <c r="G167" s="115"/>
      <c r="H167" s="115"/>
    </row>
    <row r="168" spans="1:8">
      <c r="A168" s="115"/>
      <c r="B168" s="280"/>
      <c r="C168" s="497"/>
      <c r="D168" s="115"/>
      <c r="E168" s="115"/>
      <c r="F168" s="115"/>
      <c r="G168" s="115"/>
      <c r="H168" s="115"/>
    </row>
    <row r="169" spans="1:8">
      <c r="A169" s="115"/>
      <c r="B169" s="280"/>
      <c r="C169" s="497"/>
      <c r="D169" s="115"/>
      <c r="E169" s="115"/>
      <c r="F169" s="115"/>
      <c r="G169" s="115"/>
      <c r="H169" s="115"/>
    </row>
    <row r="170" spans="1:8">
      <c r="A170" s="115"/>
      <c r="B170" s="280"/>
      <c r="C170" s="497"/>
      <c r="D170" s="115"/>
      <c r="E170" s="115"/>
      <c r="F170" s="115"/>
      <c r="G170" s="115"/>
      <c r="H170" s="115"/>
    </row>
    <row r="171" spans="1:8">
      <c r="A171" s="115"/>
      <c r="B171" s="280"/>
      <c r="C171" s="497"/>
      <c r="D171" s="115"/>
      <c r="E171" s="115"/>
      <c r="F171" s="115"/>
      <c r="G171" s="115"/>
      <c r="H171" s="115"/>
    </row>
    <row r="172" spans="1:8">
      <c r="A172" s="115"/>
      <c r="B172" s="280"/>
      <c r="C172" s="497"/>
      <c r="D172" s="115"/>
      <c r="E172" s="115"/>
      <c r="F172" s="115"/>
      <c r="G172" s="115"/>
      <c r="H172" s="115"/>
    </row>
    <row r="173" spans="1:8">
      <c r="A173" s="115"/>
      <c r="B173" s="280"/>
      <c r="C173" s="497"/>
      <c r="D173" s="115"/>
      <c r="E173" s="115"/>
      <c r="F173" s="115"/>
      <c r="G173" s="115"/>
      <c r="H173" s="115"/>
    </row>
    <row r="174" spans="1:8">
      <c r="A174" s="115"/>
      <c r="B174" s="280"/>
      <c r="C174" s="497"/>
      <c r="D174" s="115"/>
      <c r="E174" s="115"/>
      <c r="F174" s="115"/>
      <c r="G174" s="115"/>
      <c r="H174" s="115"/>
    </row>
    <row r="175" spans="1:8">
      <c r="A175" s="115"/>
      <c r="B175" s="280"/>
      <c r="C175" s="497"/>
      <c r="D175" s="115"/>
      <c r="E175" s="115"/>
      <c r="F175" s="115"/>
      <c r="G175" s="115"/>
      <c r="H175" s="115"/>
    </row>
    <row r="176" spans="1:8">
      <c r="A176" s="115"/>
      <c r="B176" s="280"/>
      <c r="C176" s="497"/>
      <c r="D176" s="115"/>
      <c r="E176" s="115"/>
      <c r="F176" s="115"/>
      <c r="G176" s="115"/>
      <c r="H176" s="115"/>
    </row>
    <row r="177" spans="1:8">
      <c r="A177" s="115"/>
      <c r="B177" s="280"/>
      <c r="C177" s="497"/>
      <c r="D177" s="115"/>
      <c r="E177" s="115"/>
      <c r="F177" s="115"/>
      <c r="G177" s="115"/>
      <c r="H177" s="115"/>
    </row>
    <row r="178" spans="1:8">
      <c r="A178" s="115"/>
      <c r="B178" s="280"/>
      <c r="C178" s="497"/>
      <c r="D178" s="115"/>
      <c r="E178" s="115"/>
      <c r="F178" s="115"/>
      <c r="G178" s="115"/>
      <c r="H178" s="115"/>
    </row>
    <row r="179" spans="1:8">
      <c r="A179" s="115"/>
      <c r="B179" s="280"/>
      <c r="C179" s="497"/>
      <c r="D179" s="115"/>
      <c r="E179" s="115"/>
      <c r="F179" s="115"/>
      <c r="G179" s="115"/>
      <c r="H179" s="115"/>
    </row>
    <row r="180" spans="1:8">
      <c r="A180" s="115"/>
      <c r="B180" s="280"/>
      <c r="C180" s="497"/>
      <c r="D180" s="115"/>
      <c r="E180" s="115"/>
      <c r="F180" s="115"/>
      <c r="G180" s="115"/>
      <c r="H180" s="115"/>
    </row>
    <row r="181" spans="1:8">
      <c r="A181" s="115"/>
      <c r="B181" s="280"/>
      <c r="C181" s="497"/>
      <c r="D181" s="115"/>
      <c r="E181" s="115"/>
      <c r="F181" s="115"/>
      <c r="G181" s="115"/>
      <c r="H181" s="115"/>
    </row>
    <row r="182" spans="1:8">
      <c r="A182" s="115"/>
      <c r="B182" s="280"/>
      <c r="C182" s="497"/>
      <c r="D182" s="115"/>
      <c r="E182" s="115"/>
      <c r="F182" s="115"/>
      <c r="G182" s="115"/>
      <c r="H182" s="115"/>
    </row>
    <row r="183" spans="1:8">
      <c r="A183" s="115"/>
      <c r="B183" s="280"/>
      <c r="C183" s="497"/>
      <c r="D183" s="115"/>
      <c r="E183" s="115"/>
      <c r="F183" s="115"/>
      <c r="G183" s="115"/>
      <c r="H183" s="115"/>
    </row>
    <row r="184" spans="1:8">
      <c r="A184" s="115"/>
      <c r="B184" s="280"/>
      <c r="C184" s="497"/>
      <c r="D184" s="115"/>
      <c r="E184" s="115"/>
      <c r="F184" s="115"/>
      <c r="G184" s="115"/>
      <c r="H184" s="115"/>
    </row>
    <row r="185" spans="1:8">
      <c r="A185" s="115"/>
      <c r="B185" s="280"/>
      <c r="C185" s="497"/>
      <c r="D185" s="115"/>
      <c r="E185" s="115"/>
      <c r="F185" s="115"/>
      <c r="G185" s="115"/>
      <c r="H185" s="115"/>
    </row>
    <row r="186" spans="1:8">
      <c r="A186" s="115"/>
      <c r="B186" s="280"/>
      <c r="C186" s="497"/>
      <c r="D186" s="115"/>
      <c r="E186" s="115"/>
      <c r="F186" s="115"/>
      <c r="G186" s="115"/>
      <c r="H186" s="115"/>
    </row>
    <row r="187" spans="1:8">
      <c r="A187" s="115"/>
      <c r="B187" s="280"/>
      <c r="C187" s="497"/>
      <c r="D187" s="115"/>
      <c r="E187" s="115"/>
      <c r="F187" s="115"/>
      <c r="G187" s="115"/>
      <c r="H187" s="115"/>
    </row>
    <row r="188" spans="1:8">
      <c r="A188" s="115"/>
      <c r="B188" s="280"/>
      <c r="C188" s="497"/>
      <c r="D188" s="115"/>
      <c r="E188" s="115"/>
      <c r="F188" s="115"/>
      <c r="G188" s="115"/>
      <c r="H188" s="115"/>
    </row>
    <row r="189" spans="1:8">
      <c r="A189" s="115"/>
      <c r="B189" s="280"/>
      <c r="C189" s="497"/>
      <c r="D189" s="115"/>
      <c r="E189" s="115"/>
      <c r="F189" s="115"/>
      <c r="G189" s="115"/>
      <c r="H189" s="115"/>
    </row>
    <row r="190" spans="1:8">
      <c r="A190" s="115"/>
      <c r="B190" s="280"/>
      <c r="C190" s="497"/>
      <c r="D190" s="115"/>
      <c r="E190" s="115"/>
      <c r="F190" s="115"/>
      <c r="G190" s="115"/>
      <c r="H190" s="115"/>
    </row>
    <row r="191" spans="1:8">
      <c r="A191" s="115"/>
      <c r="B191" s="280"/>
      <c r="C191" s="497"/>
      <c r="D191" s="115"/>
      <c r="E191" s="115"/>
      <c r="F191" s="115"/>
      <c r="G191" s="115"/>
      <c r="H191" s="115"/>
    </row>
    <row r="192" spans="1:8">
      <c r="A192" s="115"/>
      <c r="B192" s="280"/>
      <c r="C192" s="497"/>
      <c r="D192" s="115"/>
      <c r="E192" s="115"/>
      <c r="F192" s="115"/>
      <c r="G192" s="115"/>
      <c r="H192" s="115"/>
    </row>
    <row r="193" spans="1:8">
      <c r="A193" s="115"/>
      <c r="B193" s="280"/>
      <c r="C193" s="497"/>
      <c r="D193" s="115"/>
      <c r="E193" s="115"/>
      <c r="F193" s="115"/>
      <c r="G193" s="115"/>
      <c r="H193" s="115"/>
    </row>
    <row r="194" spans="1:8">
      <c r="A194" s="115"/>
      <c r="B194" s="280"/>
      <c r="C194" s="497"/>
      <c r="D194" s="115"/>
      <c r="E194" s="115"/>
      <c r="F194" s="115"/>
      <c r="G194" s="115"/>
      <c r="H194" s="115"/>
    </row>
    <row r="195" spans="1:8">
      <c r="A195" s="115"/>
      <c r="B195" s="280"/>
      <c r="C195" s="497"/>
      <c r="D195" s="115"/>
      <c r="E195" s="115"/>
      <c r="F195" s="115"/>
      <c r="G195" s="115"/>
      <c r="H195" s="115"/>
    </row>
    <row r="196" spans="1:8">
      <c r="A196" s="115"/>
      <c r="B196" s="280"/>
      <c r="C196" s="497"/>
      <c r="D196" s="115"/>
      <c r="E196" s="115"/>
      <c r="F196" s="115"/>
      <c r="G196" s="115"/>
      <c r="H196" s="115"/>
    </row>
    <row r="197" spans="1:8">
      <c r="A197" s="115"/>
      <c r="B197" s="280"/>
      <c r="C197" s="497"/>
      <c r="D197" s="115"/>
      <c r="E197" s="115"/>
      <c r="F197" s="115"/>
      <c r="G197" s="115"/>
      <c r="H197" s="115"/>
    </row>
    <row r="198" spans="1:8">
      <c r="A198" s="115"/>
      <c r="B198" s="280"/>
      <c r="C198" s="497"/>
      <c r="D198" s="115"/>
      <c r="E198" s="115"/>
      <c r="F198" s="115"/>
      <c r="G198" s="115"/>
      <c r="H198" s="115"/>
    </row>
    <row r="199" spans="1:8">
      <c r="A199" s="115"/>
      <c r="B199" s="280"/>
      <c r="C199" s="497"/>
      <c r="D199" s="115"/>
      <c r="E199" s="115"/>
      <c r="F199" s="115"/>
      <c r="G199" s="115"/>
      <c r="H199" s="115"/>
    </row>
    <row r="200" spans="1:8">
      <c r="A200" s="115"/>
      <c r="B200" s="280"/>
      <c r="C200" s="497"/>
      <c r="D200" s="115"/>
      <c r="E200" s="115"/>
      <c r="F200" s="115"/>
      <c r="G200" s="115"/>
      <c r="H200" s="115"/>
    </row>
    <row r="201" spans="1:8">
      <c r="A201" s="115"/>
      <c r="B201" s="280"/>
      <c r="C201" s="497"/>
      <c r="D201" s="115"/>
      <c r="E201" s="115"/>
      <c r="F201" s="115"/>
      <c r="G201" s="115"/>
      <c r="H201" s="115"/>
    </row>
    <row r="202" spans="1:8">
      <c r="A202" s="115"/>
      <c r="B202" s="280"/>
      <c r="C202" s="497"/>
      <c r="D202" s="115"/>
      <c r="E202" s="115"/>
      <c r="F202" s="115"/>
      <c r="G202" s="115"/>
      <c r="H202" s="115"/>
    </row>
    <row r="203" spans="1:8">
      <c r="A203" s="115"/>
      <c r="B203" s="280"/>
      <c r="C203" s="497"/>
      <c r="D203" s="115"/>
      <c r="E203" s="115"/>
      <c r="F203" s="115"/>
      <c r="G203" s="115"/>
      <c r="H203" s="115"/>
    </row>
    <row r="204" spans="1:8">
      <c r="A204" s="115"/>
      <c r="B204" s="280"/>
      <c r="C204" s="497"/>
      <c r="D204" s="115"/>
      <c r="E204" s="115"/>
      <c r="F204" s="115"/>
      <c r="G204" s="115"/>
      <c r="H204" s="115"/>
    </row>
    <row r="205" spans="1:8">
      <c r="A205" s="115"/>
      <c r="B205" s="280"/>
      <c r="C205" s="497"/>
      <c r="D205" s="115"/>
      <c r="E205" s="115"/>
      <c r="F205" s="115"/>
      <c r="G205" s="115"/>
      <c r="H205" s="115"/>
    </row>
    <row r="206" spans="1:8">
      <c r="A206" s="115"/>
      <c r="B206" s="280"/>
      <c r="C206" s="497"/>
      <c r="D206" s="115"/>
      <c r="E206" s="115"/>
      <c r="F206" s="115"/>
      <c r="G206" s="115"/>
      <c r="H206" s="115"/>
    </row>
    <row r="207" spans="1:8">
      <c r="A207" s="115"/>
      <c r="B207" s="280"/>
      <c r="C207" s="497"/>
      <c r="D207" s="115"/>
      <c r="E207" s="115"/>
      <c r="F207" s="115"/>
      <c r="G207" s="115"/>
      <c r="H207" s="115"/>
    </row>
    <row r="208" spans="1:8">
      <c r="A208" s="115"/>
      <c r="B208" s="280"/>
      <c r="C208" s="497"/>
      <c r="D208" s="115"/>
      <c r="E208" s="115"/>
      <c r="F208" s="115"/>
      <c r="G208" s="115"/>
      <c r="H208" s="115"/>
    </row>
    <row r="209" spans="1:8">
      <c r="A209" s="115"/>
      <c r="B209" s="280"/>
      <c r="C209" s="497"/>
      <c r="D209" s="115"/>
      <c r="E209" s="115"/>
      <c r="F209" s="115"/>
      <c r="G209" s="115"/>
      <c r="H209" s="115"/>
    </row>
    <row r="210" spans="1:8">
      <c r="A210" s="115"/>
      <c r="B210" s="280"/>
      <c r="C210" s="497"/>
      <c r="D210" s="115"/>
      <c r="E210" s="115"/>
      <c r="F210" s="115"/>
      <c r="G210" s="115"/>
      <c r="H210" s="115"/>
    </row>
    <row r="211" spans="1:8">
      <c r="A211" s="115"/>
      <c r="B211" s="280"/>
      <c r="C211" s="497"/>
      <c r="D211" s="115"/>
      <c r="E211" s="115"/>
      <c r="F211" s="115"/>
      <c r="G211" s="115"/>
      <c r="H211" s="115"/>
    </row>
    <row r="212" spans="1:8">
      <c r="A212" s="115"/>
      <c r="B212" s="280"/>
      <c r="C212" s="497"/>
      <c r="D212" s="115"/>
      <c r="E212" s="115"/>
      <c r="F212" s="115"/>
      <c r="G212" s="115"/>
      <c r="H212" s="115"/>
    </row>
    <row r="213" spans="1:8">
      <c r="A213" s="115"/>
      <c r="B213" s="280"/>
      <c r="C213" s="497"/>
      <c r="D213" s="115"/>
      <c r="E213" s="115"/>
      <c r="F213" s="115"/>
      <c r="G213" s="115"/>
      <c r="H213" s="115"/>
    </row>
    <row r="214" spans="1:8">
      <c r="A214" s="115"/>
      <c r="B214" s="280"/>
      <c r="C214" s="497"/>
      <c r="D214" s="115"/>
      <c r="E214" s="115"/>
      <c r="F214" s="115"/>
      <c r="G214" s="115"/>
      <c r="H214" s="115"/>
    </row>
    <row r="215" spans="1:8">
      <c r="A215" s="115"/>
      <c r="B215" s="280"/>
      <c r="C215" s="497"/>
      <c r="D215" s="115"/>
      <c r="E215" s="115"/>
      <c r="F215" s="115"/>
      <c r="G215" s="115"/>
      <c r="H215" s="115"/>
    </row>
    <row r="216" spans="1:8">
      <c r="A216" s="115"/>
      <c r="B216" s="280"/>
      <c r="C216" s="497"/>
      <c r="D216" s="115"/>
      <c r="E216" s="115"/>
      <c r="F216" s="115"/>
      <c r="G216" s="115"/>
      <c r="H216" s="115"/>
    </row>
    <row r="217" spans="1:8">
      <c r="A217" s="115"/>
      <c r="B217" s="280"/>
      <c r="C217" s="497"/>
      <c r="D217" s="115"/>
      <c r="E217" s="115"/>
      <c r="F217" s="115"/>
      <c r="G217" s="115"/>
      <c r="H217" s="115"/>
    </row>
    <row r="218" spans="1:8">
      <c r="A218" s="115"/>
      <c r="B218" s="280"/>
      <c r="C218" s="497"/>
      <c r="D218" s="115"/>
      <c r="E218" s="115"/>
      <c r="F218" s="115"/>
      <c r="G218" s="115"/>
      <c r="H218" s="115"/>
    </row>
    <row r="219" spans="1:8">
      <c r="A219" s="115"/>
      <c r="B219" s="280"/>
      <c r="C219" s="497"/>
      <c r="D219" s="115"/>
      <c r="E219" s="115"/>
      <c r="F219" s="115"/>
      <c r="G219" s="115"/>
      <c r="H219" s="115"/>
    </row>
    <row r="220" spans="1:8">
      <c r="A220" s="115"/>
      <c r="B220" s="280"/>
      <c r="C220" s="497"/>
      <c r="D220" s="115"/>
      <c r="E220" s="115"/>
      <c r="F220" s="115"/>
      <c r="G220" s="115"/>
      <c r="H220" s="115"/>
    </row>
    <row r="221" spans="1:8">
      <c r="A221" s="115"/>
      <c r="B221" s="280"/>
      <c r="C221" s="497"/>
      <c r="D221" s="115"/>
      <c r="E221" s="115"/>
      <c r="F221" s="115"/>
      <c r="G221" s="115"/>
      <c r="H221" s="115"/>
    </row>
    <row r="222" spans="1:8">
      <c r="A222" s="115"/>
      <c r="B222" s="280"/>
      <c r="C222" s="497"/>
      <c r="D222" s="115"/>
      <c r="E222" s="115"/>
      <c r="F222" s="115"/>
      <c r="G222" s="115"/>
      <c r="H222" s="115"/>
    </row>
    <row r="223" spans="1:8">
      <c r="A223" s="115"/>
      <c r="B223" s="280"/>
      <c r="C223" s="497"/>
      <c r="D223" s="115"/>
      <c r="E223" s="115"/>
      <c r="F223" s="115"/>
      <c r="G223" s="115"/>
      <c r="H223" s="115"/>
    </row>
    <row r="224" spans="1:8">
      <c r="A224" s="115"/>
      <c r="B224" s="280"/>
      <c r="C224" s="497"/>
      <c r="D224" s="115"/>
      <c r="E224" s="115"/>
      <c r="F224" s="115"/>
      <c r="G224" s="115"/>
      <c r="H224" s="115"/>
    </row>
    <row r="225" spans="1:8">
      <c r="A225" s="115"/>
      <c r="B225" s="280"/>
      <c r="C225" s="497"/>
      <c r="D225" s="115"/>
      <c r="E225" s="115"/>
      <c r="F225" s="115"/>
      <c r="G225" s="115"/>
      <c r="H225" s="115"/>
    </row>
    <row r="226" spans="1:8">
      <c r="A226" s="115"/>
      <c r="B226" s="280"/>
      <c r="C226" s="497"/>
      <c r="D226" s="115"/>
      <c r="E226" s="115"/>
      <c r="F226" s="115"/>
      <c r="G226" s="115"/>
      <c r="H226" s="115"/>
    </row>
    <row r="227" spans="1:8">
      <c r="A227" s="115"/>
      <c r="B227" s="280"/>
      <c r="C227" s="497"/>
      <c r="D227" s="115"/>
      <c r="E227" s="115"/>
      <c r="F227" s="115"/>
      <c r="G227" s="115"/>
      <c r="H227" s="115"/>
    </row>
    <row r="228" spans="1:8">
      <c r="A228" s="115"/>
      <c r="B228" s="280"/>
      <c r="C228" s="497"/>
      <c r="D228" s="115"/>
      <c r="E228" s="115"/>
      <c r="F228" s="115"/>
      <c r="G228" s="115"/>
      <c r="H228" s="115"/>
    </row>
    <row r="229" spans="1:8">
      <c r="A229" s="115"/>
      <c r="B229" s="280"/>
      <c r="C229" s="497"/>
      <c r="D229" s="115"/>
      <c r="E229" s="115"/>
      <c r="F229" s="115"/>
      <c r="G229" s="115"/>
      <c r="H229" s="115"/>
    </row>
    <row r="230" spans="1:8">
      <c r="A230" s="115"/>
      <c r="B230" s="280"/>
      <c r="C230" s="497"/>
      <c r="D230" s="115"/>
      <c r="E230" s="115"/>
      <c r="F230" s="115"/>
      <c r="G230" s="115"/>
      <c r="H230" s="115"/>
    </row>
    <row r="231" spans="1:8">
      <c r="A231" s="115"/>
      <c r="B231" s="280"/>
      <c r="C231" s="497"/>
      <c r="D231" s="115"/>
      <c r="E231" s="115"/>
      <c r="F231" s="115"/>
      <c r="G231" s="115"/>
      <c r="H231" s="115"/>
    </row>
    <row r="232" spans="1:8">
      <c r="A232" s="115"/>
      <c r="B232" s="280"/>
      <c r="C232" s="497"/>
      <c r="D232" s="115"/>
      <c r="E232" s="115"/>
      <c r="F232" s="115"/>
      <c r="G232" s="115"/>
      <c r="H232" s="115"/>
    </row>
    <row r="233" spans="1:8">
      <c r="A233" s="115"/>
      <c r="B233" s="280"/>
      <c r="C233" s="497"/>
      <c r="D233" s="115"/>
      <c r="E233" s="115"/>
      <c r="F233" s="115"/>
      <c r="G233" s="115"/>
      <c r="H233" s="115"/>
    </row>
    <row r="234" spans="1:8">
      <c r="A234" s="115"/>
      <c r="B234" s="280"/>
      <c r="C234" s="497"/>
      <c r="D234" s="115"/>
      <c r="E234" s="115"/>
      <c r="F234" s="115"/>
      <c r="G234" s="115"/>
      <c r="H234" s="115"/>
    </row>
    <row r="235" spans="1:8">
      <c r="A235" s="115"/>
      <c r="B235" s="280"/>
      <c r="C235" s="497"/>
      <c r="D235" s="115"/>
      <c r="E235" s="115"/>
      <c r="F235" s="115"/>
      <c r="G235" s="115"/>
      <c r="H235" s="115"/>
    </row>
    <row r="236" spans="1:8">
      <c r="A236" s="115"/>
      <c r="B236" s="280"/>
      <c r="C236" s="497"/>
      <c r="D236" s="115"/>
      <c r="E236" s="115"/>
      <c r="F236" s="115"/>
      <c r="G236" s="115"/>
      <c r="H236" s="115"/>
    </row>
    <row r="237" spans="1:8">
      <c r="A237" s="115"/>
      <c r="B237" s="280"/>
      <c r="C237" s="497"/>
      <c r="D237" s="115"/>
      <c r="E237" s="115"/>
      <c r="F237" s="115"/>
      <c r="G237" s="115"/>
      <c r="H237" s="115"/>
    </row>
    <row r="238" spans="1:8">
      <c r="A238" s="115"/>
      <c r="B238" s="280"/>
      <c r="C238" s="497"/>
      <c r="D238" s="115"/>
      <c r="E238" s="115"/>
      <c r="F238" s="115"/>
      <c r="G238" s="115"/>
      <c r="H238" s="115"/>
    </row>
    <row r="239" spans="1:8">
      <c r="A239" s="115"/>
      <c r="B239" s="280"/>
      <c r="C239" s="497"/>
      <c r="D239" s="115"/>
      <c r="E239" s="115"/>
      <c r="F239" s="115"/>
      <c r="G239" s="115"/>
      <c r="H239" s="115"/>
    </row>
    <row r="240" spans="1:8">
      <c r="A240" s="115"/>
      <c r="B240" s="280"/>
      <c r="C240" s="497"/>
      <c r="D240" s="115"/>
      <c r="E240" s="115"/>
      <c r="F240" s="115"/>
      <c r="G240" s="115"/>
      <c r="H240" s="115"/>
    </row>
    <row r="241" spans="1:8">
      <c r="A241" s="115"/>
      <c r="B241" s="280"/>
      <c r="C241" s="497"/>
      <c r="D241" s="115"/>
      <c r="E241" s="115"/>
      <c r="F241" s="115"/>
      <c r="G241" s="115"/>
      <c r="H241" s="115"/>
    </row>
    <row r="242" spans="1:8">
      <c r="A242" s="115"/>
      <c r="B242" s="280"/>
      <c r="C242" s="497"/>
      <c r="D242" s="115"/>
      <c r="E242" s="115"/>
      <c r="F242" s="115"/>
      <c r="G242" s="115"/>
      <c r="H242" s="115"/>
    </row>
    <row r="243" spans="1:8">
      <c r="A243" s="115"/>
      <c r="B243" s="280"/>
      <c r="C243" s="497"/>
      <c r="D243" s="115"/>
      <c r="E243" s="115"/>
      <c r="F243" s="115"/>
      <c r="G243" s="115"/>
      <c r="H243" s="115"/>
    </row>
    <row r="244" spans="1:8">
      <c r="A244" s="115"/>
      <c r="B244" s="280"/>
      <c r="C244" s="497"/>
      <c r="D244" s="115"/>
      <c r="E244" s="115"/>
      <c r="F244" s="115"/>
      <c r="G244" s="115"/>
      <c r="H244" s="115"/>
    </row>
    <row r="245" spans="1:8">
      <c r="A245" s="115"/>
      <c r="B245" s="280"/>
      <c r="C245" s="497"/>
      <c r="D245" s="115"/>
      <c r="E245" s="115"/>
      <c r="F245" s="115"/>
      <c r="G245" s="115"/>
      <c r="H245" s="115"/>
    </row>
    <row r="246" spans="1:8">
      <c r="A246" s="115"/>
      <c r="B246" s="280"/>
      <c r="C246" s="497"/>
      <c r="D246" s="115"/>
      <c r="E246" s="115"/>
      <c r="F246" s="115"/>
      <c r="G246" s="115"/>
      <c r="H246" s="115"/>
    </row>
    <row r="247" spans="1:8">
      <c r="A247" s="115"/>
      <c r="B247" s="280"/>
      <c r="C247" s="497"/>
      <c r="D247" s="115"/>
      <c r="E247" s="115"/>
      <c r="F247" s="115"/>
      <c r="G247" s="115"/>
      <c r="H247" s="115"/>
    </row>
    <row r="248" spans="1:8">
      <c r="A248" s="115"/>
      <c r="B248" s="280"/>
      <c r="C248" s="497"/>
      <c r="D248" s="115"/>
      <c r="E248" s="115"/>
      <c r="F248" s="115"/>
      <c r="G248" s="115"/>
      <c r="H248" s="115"/>
    </row>
    <row r="249" spans="1:8">
      <c r="A249" s="115"/>
      <c r="B249" s="280"/>
      <c r="C249" s="497"/>
      <c r="D249" s="115"/>
      <c r="E249" s="115"/>
      <c r="F249" s="115"/>
      <c r="G249" s="115"/>
      <c r="H249" s="115"/>
    </row>
    <row r="250" spans="1:8">
      <c r="A250" s="115"/>
      <c r="B250" s="280"/>
      <c r="C250" s="497"/>
      <c r="D250" s="115"/>
      <c r="E250" s="115"/>
      <c r="F250" s="115"/>
      <c r="G250" s="115"/>
      <c r="H250" s="115"/>
    </row>
    <row r="251" spans="1:8">
      <c r="A251" s="115"/>
      <c r="B251" s="280"/>
      <c r="C251" s="497"/>
      <c r="D251" s="115"/>
      <c r="E251" s="115"/>
      <c r="F251" s="115"/>
      <c r="G251" s="115"/>
      <c r="H251" s="115"/>
    </row>
    <row r="252" spans="1:8">
      <c r="A252" s="115"/>
      <c r="B252" s="280"/>
      <c r="C252" s="497"/>
      <c r="D252" s="115"/>
      <c r="E252" s="115"/>
      <c r="F252" s="115"/>
      <c r="G252" s="115"/>
      <c r="H252" s="115"/>
    </row>
    <row r="253" spans="1:8">
      <c r="A253" s="115"/>
      <c r="B253" s="280"/>
      <c r="C253" s="497"/>
      <c r="D253" s="115"/>
      <c r="E253" s="115"/>
      <c r="F253" s="115"/>
      <c r="G253" s="115"/>
      <c r="H253" s="115"/>
    </row>
    <row r="254" spans="1:8">
      <c r="A254" s="115"/>
      <c r="B254" s="280"/>
      <c r="C254" s="497"/>
      <c r="D254" s="115"/>
      <c r="E254" s="115"/>
      <c r="F254" s="115"/>
      <c r="G254" s="115"/>
      <c r="H254" s="115"/>
    </row>
    <row r="255" spans="1:8">
      <c r="A255" s="115"/>
      <c r="B255" s="280"/>
      <c r="C255" s="497"/>
      <c r="D255" s="115"/>
      <c r="E255" s="115"/>
      <c r="F255" s="115"/>
      <c r="G255" s="115"/>
      <c r="H255" s="115"/>
    </row>
    <row r="256" spans="1:8">
      <c r="A256" s="115"/>
      <c r="B256" s="280"/>
      <c r="C256" s="497"/>
      <c r="D256" s="115"/>
      <c r="E256" s="115"/>
      <c r="F256" s="115"/>
      <c r="G256" s="115"/>
      <c r="H256" s="115"/>
    </row>
    <row r="257" spans="1:8">
      <c r="A257" s="115"/>
      <c r="B257" s="280"/>
      <c r="C257" s="497"/>
      <c r="D257" s="115"/>
      <c r="E257" s="115"/>
      <c r="F257" s="115"/>
      <c r="G257" s="115"/>
      <c r="H257" s="115"/>
    </row>
    <row r="258" spans="1:8">
      <c r="A258" s="115"/>
      <c r="B258" s="280"/>
      <c r="C258" s="497"/>
      <c r="D258" s="115"/>
      <c r="E258" s="115"/>
      <c r="F258" s="115"/>
      <c r="G258" s="115"/>
      <c r="H258" s="115"/>
    </row>
    <row r="259" spans="1:8">
      <c r="A259" s="115"/>
      <c r="B259" s="280"/>
      <c r="C259" s="497"/>
      <c r="D259" s="115"/>
      <c r="E259" s="115"/>
      <c r="F259" s="115"/>
      <c r="G259" s="115"/>
      <c r="H259" s="115"/>
    </row>
    <row r="260" spans="1:8">
      <c r="A260" s="115"/>
      <c r="B260" s="280"/>
      <c r="C260" s="497"/>
      <c r="D260" s="115"/>
      <c r="E260" s="115"/>
      <c r="F260" s="115"/>
      <c r="G260" s="115"/>
      <c r="H260" s="115"/>
    </row>
    <row r="261" spans="1:8">
      <c r="A261" s="115"/>
      <c r="B261" s="280"/>
      <c r="C261" s="497"/>
      <c r="D261" s="115"/>
      <c r="E261" s="115"/>
      <c r="F261" s="115"/>
      <c r="G261" s="115"/>
      <c r="H261" s="115"/>
    </row>
    <row r="262" spans="1:8">
      <c r="A262" s="115"/>
      <c r="B262" s="280"/>
      <c r="C262" s="497"/>
      <c r="D262" s="115"/>
      <c r="E262" s="115"/>
      <c r="F262" s="115"/>
      <c r="G262" s="115"/>
      <c r="H262" s="115"/>
    </row>
    <row r="263" spans="1:8">
      <c r="A263" s="115"/>
      <c r="B263" s="280"/>
      <c r="C263" s="497"/>
      <c r="D263" s="115"/>
      <c r="E263" s="115"/>
      <c r="F263" s="115"/>
      <c r="G263" s="115"/>
      <c r="H263" s="115"/>
    </row>
    <row r="264" spans="1:8">
      <c r="A264" s="115"/>
      <c r="B264" s="280"/>
      <c r="C264" s="497"/>
      <c r="D264" s="115"/>
      <c r="E264" s="115"/>
      <c r="F264" s="115"/>
      <c r="G264" s="115"/>
      <c r="H264" s="115"/>
    </row>
    <row r="265" spans="1:8">
      <c r="A265" s="115"/>
      <c r="B265" s="280"/>
      <c r="C265" s="497"/>
      <c r="D265" s="115"/>
      <c r="E265" s="115"/>
      <c r="F265" s="115"/>
      <c r="G265" s="115"/>
      <c r="H265" s="115"/>
    </row>
    <row r="266" spans="1:8">
      <c r="A266" s="115"/>
      <c r="B266" s="280"/>
      <c r="C266" s="497"/>
      <c r="D266" s="115"/>
      <c r="E266" s="115"/>
      <c r="F266" s="115"/>
      <c r="G266" s="115"/>
      <c r="H266" s="115"/>
    </row>
    <row r="267" spans="1:8">
      <c r="A267" s="115"/>
      <c r="B267" s="280"/>
      <c r="C267" s="497"/>
      <c r="D267" s="115"/>
      <c r="E267" s="115"/>
      <c r="F267" s="115"/>
      <c r="G267" s="115"/>
      <c r="H267" s="115"/>
    </row>
    <row r="268" spans="1:8">
      <c r="A268" s="115"/>
      <c r="B268" s="280"/>
      <c r="C268" s="497"/>
      <c r="D268" s="115"/>
      <c r="E268" s="115"/>
      <c r="F268" s="115"/>
      <c r="G268" s="115"/>
      <c r="H268" s="115"/>
    </row>
    <row r="269" spans="1:8">
      <c r="A269" s="115"/>
      <c r="B269" s="280"/>
      <c r="C269" s="497"/>
      <c r="D269" s="115"/>
      <c r="E269" s="115"/>
      <c r="F269" s="115"/>
      <c r="G269" s="115"/>
      <c r="H269" s="115"/>
    </row>
    <row r="270" spans="1:8">
      <c r="A270" s="115"/>
      <c r="B270" s="280"/>
      <c r="C270" s="497"/>
      <c r="D270" s="115"/>
      <c r="E270" s="115"/>
      <c r="F270" s="115"/>
      <c r="G270" s="115"/>
      <c r="H270" s="115"/>
    </row>
    <row r="271" spans="1:8">
      <c r="A271" s="115"/>
      <c r="B271" s="280"/>
      <c r="C271" s="497"/>
      <c r="D271" s="115"/>
      <c r="E271" s="115"/>
      <c r="F271" s="115"/>
      <c r="G271" s="115"/>
      <c r="H271" s="115"/>
    </row>
    <row r="272" spans="1:8">
      <c r="A272" s="115"/>
      <c r="B272" s="280"/>
      <c r="C272" s="497"/>
      <c r="D272" s="115"/>
      <c r="E272" s="115"/>
      <c r="F272" s="115"/>
      <c r="G272" s="115"/>
      <c r="H272" s="115"/>
    </row>
    <row r="273" spans="1:8">
      <c r="A273" s="115"/>
      <c r="B273" s="280"/>
      <c r="C273" s="497"/>
      <c r="D273" s="115"/>
      <c r="E273" s="115"/>
      <c r="F273" s="115"/>
      <c r="G273" s="115"/>
      <c r="H273" s="115"/>
    </row>
    <row r="274" spans="1:8">
      <c r="A274" s="115"/>
      <c r="B274" s="280"/>
      <c r="C274" s="497"/>
      <c r="D274" s="115"/>
      <c r="E274" s="115"/>
      <c r="F274" s="115"/>
      <c r="G274" s="115"/>
      <c r="H274" s="115"/>
    </row>
    <row r="275" spans="1:8">
      <c r="A275" s="115"/>
      <c r="B275" s="280"/>
      <c r="C275" s="497"/>
      <c r="D275" s="115"/>
      <c r="E275" s="115"/>
      <c r="F275" s="115"/>
      <c r="G275" s="115"/>
      <c r="H275" s="115"/>
    </row>
    <row r="276" spans="1:8">
      <c r="A276" s="115"/>
      <c r="B276" s="280"/>
      <c r="C276" s="497"/>
      <c r="D276" s="115"/>
      <c r="E276" s="115"/>
      <c r="F276" s="115"/>
      <c r="G276" s="115"/>
      <c r="H276" s="115"/>
    </row>
    <row r="277" spans="1:8">
      <c r="A277" s="115"/>
      <c r="B277" s="280"/>
      <c r="C277" s="497"/>
      <c r="D277" s="115"/>
      <c r="E277" s="115"/>
      <c r="F277" s="115"/>
      <c r="G277" s="115"/>
      <c r="H277" s="115"/>
    </row>
    <row r="278" spans="1:8">
      <c r="A278" s="115"/>
      <c r="B278" s="280"/>
      <c r="C278" s="497"/>
      <c r="D278" s="115"/>
      <c r="E278" s="115"/>
      <c r="F278" s="115"/>
      <c r="G278" s="115"/>
      <c r="H278" s="115"/>
    </row>
    <row r="279" spans="1:8">
      <c r="A279" s="115"/>
      <c r="B279" s="280"/>
      <c r="C279" s="497"/>
      <c r="D279" s="115"/>
      <c r="E279" s="115"/>
      <c r="F279" s="115"/>
      <c r="G279" s="115"/>
      <c r="H279" s="115"/>
    </row>
    <row r="280" spans="1:8">
      <c r="A280" s="115"/>
      <c r="B280" s="280"/>
      <c r="C280" s="497"/>
      <c r="D280" s="115"/>
      <c r="E280" s="115"/>
      <c r="F280" s="115"/>
      <c r="G280" s="115"/>
      <c r="H280" s="115"/>
    </row>
    <row r="281" spans="1:8">
      <c r="A281" s="115"/>
      <c r="B281" s="280"/>
      <c r="C281" s="497"/>
      <c r="D281" s="115"/>
      <c r="E281" s="115"/>
      <c r="F281" s="115"/>
      <c r="G281" s="115"/>
      <c r="H281" s="115"/>
    </row>
    <row r="282" spans="1:8">
      <c r="A282" s="115"/>
      <c r="B282" s="280"/>
      <c r="C282" s="497"/>
      <c r="D282" s="115"/>
      <c r="E282" s="115"/>
      <c r="F282" s="115"/>
      <c r="G282" s="115"/>
      <c r="H282" s="115"/>
    </row>
    <row r="283" spans="1:8">
      <c r="A283" s="115"/>
      <c r="B283" s="280"/>
      <c r="C283" s="497"/>
      <c r="D283" s="115"/>
      <c r="E283" s="115"/>
      <c r="F283" s="115"/>
      <c r="G283" s="115"/>
      <c r="H283" s="115"/>
    </row>
    <row r="284" spans="1:8">
      <c r="A284" s="115"/>
      <c r="B284" s="280"/>
      <c r="C284" s="497"/>
      <c r="D284" s="115"/>
      <c r="E284" s="115"/>
      <c r="F284" s="115"/>
      <c r="G284" s="115"/>
      <c r="H284" s="115"/>
    </row>
    <row r="285" spans="1:8">
      <c r="A285" s="115"/>
      <c r="B285" s="280"/>
      <c r="C285" s="497"/>
      <c r="D285" s="115"/>
      <c r="E285" s="115"/>
      <c r="F285" s="115"/>
      <c r="G285" s="115"/>
      <c r="H285" s="115"/>
    </row>
    <row r="286" spans="1:8">
      <c r="A286" s="115"/>
      <c r="B286" s="280"/>
      <c r="C286" s="497"/>
      <c r="D286" s="115"/>
      <c r="E286" s="115"/>
      <c r="F286" s="115"/>
      <c r="G286" s="115"/>
      <c r="H286" s="115"/>
    </row>
    <row r="287" spans="1:8">
      <c r="A287" s="115"/>
      <c r="B287" s="280"/>
      <c r="C287" s="497"/>
      <c r="D287" s="115"/>
      <c r="E287" s="115"/>
      <c r="F287" s="115"/>
      <c r="G287" s="115"/>
      <c r="H287" s="115"/>
    </row>
    <row r="288" spans="1:8">
      <c r="A288" s="115"/>
      <c r="B288" s="280"/>
      <c r="C288" s="497"/>
      <c r="D288" s="115"/>
      <c r="E288" s="115"/>
      <c r="F288" s="115"/>
      <c r="G288" s="115"/>
      <c r="H288" s="115"/>
    </row>
    <row r="289" spans="1:8">
      <c r="A289" s="115"/>
      <c r="B289" s="280"/>
      <c r="C289" s="497"/>
      <c r="D289" s="115"/>
      <c r="E289" s="115"/>
      <c r="F289" s="115"/>
      <c r="G289" s="115"/>
      <c r="H289" s="115"/>
    </row>
    <row r="290" spans="1:8">
      <c r="A290" s="115"/>
      <c r="B290" s="280"/>
      <c r="C290" s="497"/>
      <c r="D290" s="115"/>
      <c r="E290" s="115"/>
      <c r="F290" s="115"/>
      <c r="G290" s="115"/>
      <c r="H290" s="115"/>
    </row>
    <row r="291" spans="1:8">
      <c r="A291" s="115"/>
      <c r="B291" s="280"/>
      <c r="C291" s="497"/>
      <c r="D291" s="115"/>
      <c r="E291" s="115"/>
      <c r="F291" s="115"/>
      <c r="G291" s="115"/>
      <c r="H291" s="115"/>
    </row>
    <row r="292" spans="1:8">
      <c r="A292" s="115"/>
      <c r="B292" s="280"/>
      <c r="C292" s="497"/>
      <c r="D292" s="115"/>
      <c r="E292" s="115"/>
      <c r="F292" s="115"/>
      <c r="G292" s="115"/>
      <c r="H292" s="115"/>
    </row>
    <row r="293" spans="1:8">
      <c r="A293" s="115"/>
      <c r="B293" s="280"/>
      <c r="C293" s="497"/>
      <c r="D293" s="115"/>
      <c r="E293" s="115"/>
      <c r="F293" s="115"/>
      <c r="G293" s="115"/>
      <c r="H293" s="115"/>
    </row>
    <row r="294" spans="1:8">
      <c r="A294" s="115"/>
      <c r="B294" s="280"/>
      <c r="C294" s="497"/>
      <c r="D294" s="115"/>
      <c r="E294" s="115"/>
      <c r="F294" s="115"/>
      <c r="G294" s="115"/>
      <c r="H294" s="115"/>
    </row>
    <row r="295" spans="1:8">
      <c r="A295" s="115"/>
      <c r="B295" s="280"/>
      <c r="C295" s="497"/>
      <c r="D295" s="115"/>
      <c r="E295" s="115"/>
      <c r="F295" s="115"/>
      <c r="G295" s="115"/>
      <c r="H295" s="115"/>
    </row>
    <row r="296" spans="1:8">
      <c r="A296" s="115"/>
      <c r="B296" s="280"/>
      <c r="C296" s="497"/>
      <c r="D296" s="115"/>
      <c r="E296" s="115"/>
      <c r="F296" s="115"/>
      <c r="G296" s="115"/>
      <c r="H296" s="115"/>
    </row>
    <row r="297" spans="1:8">
      <c r="A297" s="115"/>
      <c r="B297" s="280"/>
      <c r="C297" s="497"/>
      <c r="D297" s="115"/>
      <c r="E297" s="115"/>
      <c r="F297" s="115"/>
      <c r="G297" s="115"/>
      <c r="H297" s="115"/>
    </row>
    <row r="298" spans="1:8">
      <c r="A298" s="115"/>
      <c r="B298" s="280"/>
      <c r="C298" s="497"/>
      <c r="D298" s="115"/>
      <c r="E298" s="115"/>
      <c r="F298" s="115"/>
      <c r="G298" s="115"/>
      <c r="H298" s="115"/>
    </row>
    <row r="299" spans="1:8">
      <c r="A299" s="115"/>
      <c r="B299" s="280"/>
      <c r="C299" s="497"/>
      <c r="D299" s="115"/>
      <c r="E299" s="115"/>
      <c r="F299" s="115"/>
      <c r="G299" s="115"/>
      <c r="H299" s="115"/>
    </row>
    <row r="300" spans="1:8">
      <c r="A300" s="115"/>
      <c r="B300" s="280"/>
      <c r="C300" s="497"/>
      <c r="D300" s="115"/>
      <c r="E300" s="115"/>
      <c r="F300" s="115"/>
      <c r="G300" s="115"/>
      <c r="H300" s="115"/>
    </row>
    <row r="301" spans="1:8">
      <c r="A301" s="115"/>
      <c r="B301" s="280"/>
      <c r="C301" s="497"/>
      <c r="D301" s="115"/>
      <c r="E301" s="115"/>
      <c r="F301" s="115"/>
      <c r="G301" s="115"/>
      <c r="H301" s="115"/>
    </row>
    <row r="302" spans="1:8">
      <c r="A302" s="115"/>
      <c r="B302" s="280"/>
      <c r="C302" s="497"/>
      <c r="D302" s="115"/>
      <c r="E302" s="115"/>
      <c r="F302" s="115"/>
      <c r="G302" s="115"/>
      <c r="H302" s="115"/>
    </row>
    <row r="303" spans="1:8">
      <c r="A303" s="115"/>
      <c r="B303" s="280"/>
      <c r="C303" s="497"/>
      <c r="D303" s="115"/>
      <c r="E303" s="115"/>
      <c r="F303" s="115"/>
      <c r="G303" s="115"/>
      <c r="H303" s="115"/>
    </row>
    <row r="304" spans="1:8">
      <c r="A304" s="115"/>
      <c r="B304" s="280"/>
      <c r="C304" s="497"/>
      <c r="D304" s="115"/>
      <c r="E304" s="115"/>
      <c r="F304" s="115"/>
      <c r="G304" s="115"/>
      <c r="H304" s="115"/>
    </row>
    <row r="305" spans="1:8">
      <c r="A305" s="115"/>
      <c r="B305" s="280"/>
      <c r="C305" s="497"/>
      <c r="D305" s="115"/>
      <c r="E305" s="115"/>
      <c r="F305" s="115"/>
      <c r="G305" s="115"/>
      <c r="H305" s="115"/>
    </row>
    <row r="306" spans="1:8">
      <c r="A306" s="115"/>
      <c r="B306" s="280"/>
      <c r="C306" s="497"/>
      <c r="D306" s="115"/>
      <c r="E306" s="115"/>
      <c r="F306" s="115"/>
      <c r="G306" s="115"/>
      <c r="H306" s="115"/>
    </row>
    <row r="307" spans="1:8">
      <c r="A307" s="115"/>
      <c r="B307" s="280"/>
      <c r="C307" s="497"/>
      <c r="D307" s="115"/>
      <c r="E307" s="115"/>
      <c r="F307" s="115"/>
      <c r="G307" s="115"/>
      <c r="H307" s="115"/>
    </row>
    <row r="308" spans="1:8">
      <c r="A308" s="115"/>
      <c r="B308" s="280"/>
      <c r="C308" s="497"/>
      <c r="D308" s="115"/>
      <c r="E308" s="115"/>
      <c r="F308" s="115"/>
      <c r="G308" s="115"/>
      <c r="H308" s="115"/>
    </row>
    <row r="309" spans="1:8">
      <c r="A309" s="115"/>
      <c r="B309" s="280"/>
      <c r="C309" s="497"/>
      <c r="D309" s="115"/>
      <c r="E309" s="115"/>
      <c r="F309" s="115"/>
      <c r="G309" s="115"/>
      <c r="H309" s="115"/>
    </row>
    <row r="310" spans="1:8">
      <c r="A310" s="115"/>
      <c r="B310" s="280"/>
      <c r="C310" s="497"/>
      <c r="D310" s="115"/>
      <c r="E310" s="115"/>
      <c r="F310" s="115"/>
      <c r="G310" s="115"/>
      <c r="H310" s="115"/>
    </row>
    <row r="311" spans="1:8">
      <c r="A311" s="115"/>
      <c r="B311" s="280"/>
      <c r="C311" s="497"/>
      <c r="D311" s="115"/>
      <c r="E311" s="115"/>
      <c r="F311" s="115"/>
      <c r="G311" s="115"/>
      <c r="H311" s="115"/>
    </row>
    <row r="312" spans="1:8">
      <c r="A312" s="115"/>
      <c r="B312" s="280"/>
      <c r="C312" s="497"/>
      <c r="D312" s="115"/>
      <c r="E312" s="115"/>
      <c r="F312" s="115"/>
      <c r="G312" s="115"/>
      <c r="H312" s="115"/>
    </row>
    <row r="313" spans="1:8">
      <c r="A313" s="115"/>
      <c r="B313" s="280"/>
      <c r="C313" s="497"/>
      <c r="D313" s="115"/>
      <c r="E313" s="115"/>
      <c r="F313" s="115"/>
      <c r="G313" s="115"/>
      <c r="H313" s="115"/>
    </row>
    <row r="314" spans="1:8">
      <c r="A314" s="115"/>
      <c r="B314" s="280"/>
      <c r="C314" s="497"/>
      <c r="D314" s="115"/>
      <c r="E314" s="115"/>
      <c r="F314" s="115"/>
      <c r="G314" s="115"/>
      <c r="H314" s="115"/>
    </row>
    <row r="315" spans="1:8">
      <c r="A315" s="115"/>
      <c r="B315" s="280"/>
      <c r="C315" s="497"/>
      <c r="D315" s="115"/>
      <c r="E315" s="115"/>
      <c r="F315" s="115"/>
      <c r="G315" s="115"/>
      <c r="H315" s="115"/>
    </row>
    <row r="316" spans="1:8">
      <c r="A316" s="115"/>
      <c r="B316" s="280"/>
      <c r="C316" s="497"/>
      <c r="D316" s="115"/>
      <c r="E316" s="115"/>
      <c r="F316" s="115"/>
      <c r="G316" s="115"/>
      <c r="H316" s="115"/>
    </row>
    <row r="317" spans="1:8">
      <c r="A317" s="115"/>
      <c r="B317" s="280"/>
      <c r="C317" s="497"/>
      <c r="D317" s="115"/>
      <c r="E317" s="115"/>
      <c r="F317" s="115"/>
      <c r="G317" s="115"/>
      <c r="H317" s="115"/>
    </row>
    <row r="318" spans="1:8">
      <c r="A318" s="115"/>
      <c r="B318" s="280"/>
      <c r="C318" s="497"/>
      <c r="D318" s="115"/>
      <c r="E318" s="115"/>
      <c r="F318" s="115"/>
      <c r="G318" s="115"/>
      <c r="H318" s="115"/>
    </row>
  </sheetData>
  <mergeCells count="4">
    <mergeCell ref="A1:H1"/>
    <mergeCell ref="A4:H4"/>
    <mergeCell ref="A5:H5"/>
    <mergeCell ref="A46:H46"/>
  </mergeCells>
  <pageMargins left="0.7" right="0.6" top="0.48749999999999999" bottom="0.75" header="0.3" footer="0.3"/>
  <pageSetup paperSize="9" scale="75" orientation="portrait" verticalDpi="200" r:id="rId1"/>
  <headerFooter scaleWithDoc="0">
    <oddHeader>&amp;COxford Health NHS Foundation Trust - Annual Accounts 2012/13</oddHeader>
    <oddFooter xml:space="preserve">&amp;CPage &amp;[1 - &amp; Statement of Comprehensive Income&amp;R
</oddFooter>
  </headerFooter>
</worksheet>
</file>

<file path=xl/worksheets/sheet30.xml><?xml version="1.0" encoding="utf-8"?>
<worksheet xmlns="http://schemas.openxmlformats.org/spreadsheetml/2006/main" xmlns:r="http://schemas.openxmlformats.org/officeDocument/2006/relationships">
  <sheetPr codeName="Sheet28"/>
  <dimension ref="A1:H49"/>
  <sheetViews>
    <sheetView view="pageLayout" topLeftCell="A34" zoomScale="90" zoomScalePageLayoutView="90" workbookViewId="0">
      <selection activeCell="B46" sqref="B46"/>
    </sheetView>
  </sheetViews>
  <sheetFormatPr defaultRowHeight="14.25"/>
  <cols>
    <col min="1" max="1" width="5.5703125" style="20" bestFit="1" customWidth="1"/>
    <col min="2" max="2" width="38.28515625" style="13" customWidth="1"/>
    <col min="3" max="3" width="19.7109375" style="13" customWidth="1"/>
    <col min="4" max="4" width="1.42578125" style="13" customWidth="1"/>
    <col min="5" max="5" width="20.5703125" style="13" customWidth="1"/>
    <col min="6" max="6" width="1" style="13" customWidth="1"/>
    <col min="7" max="7" width="14" style="13" customWidth="1"/>
    <col min="8" max="11" width="9.140625" style="13"/>
    <col min="12" max="12" width="1.85546875" style="13" customWidth="1"/>
    <col min="13" max="16384" width="9.140625" style="13"/>
  </cols>
  <sheetData>
    <row r="1" spans="1:8">
      <c r="A1" s="58"/>
      <c r="B1" s="19"/>
      <c r="C1" s="19"/>
      <c r="D1" s="19"/>
      <c r="E1" s="19"/>
      <c r="F1" s="19"/>
      <c r="G1" s="182"/>
      <c r="H1" s="182"/>
    </row>
    <row r="2" spans="1:8" s="174" customFormat="1" ht="15.75">
      <c r="A2" s="29">
        <v>32</v>
      </c>
      <c r="B2" s="14" t="s">
        <v>792</v>
      </c>
    </row>
    <row r="4" spans="1:8" s="14" customFormat="1" ht="15">
      <c r="A4" s="29">
        <v>32.1</v>
      </c>
      <c r="B4" s="14" t="s">
        <v>794</v>
      </c>
    </row>
    <row r="5" spans="1:8">
      <c r="B5" s="46" t="s">
        <v>795</v>
      </c>
    </row>
    <row r="7" spans="1:8" s="14" customFormat="1" ht="15">
      <c r="A7" s="29">
        <v>32.200000000000003</v>
      </c>
      <c r="B7" s="14" t="s">
        <v>793</v>
      </c>
    </row>
    <row r="8" spans="1:8">
      <c r="B8" s="298" t="s">
        <v>387</v>
      </c>
      <c r="C8" s="46"/>
      <c r="D8" s="46"/>
      <c r="E8" s="46"/>
      <c r="F8" s="46"/>
      <c r="G8" s="46"/>
      <c r="H8" s="46"/>
    </row>
    <row r="9" spans="1:8" ht="50.25" customHeight="1">
      <c r="B9" s="680" t="s">
        <v>507</v>
      </c>
      <c r="C9" s="680"/>
      <c r="D9" s="680"/>
      <c r="E9" s="680"/>
      <c r="F9" s="578"/>
      <c r="G9" s="578"/>
      <c r="H9" s="578"/>
    </row>
    <row r="10" spans="1:8" ht="42.75" customHeight="1">
      <c r="B10" s="680" t="s">
        <v>379</v>
      </c>
      <c r="C10" s="680"/>
      <c r="D10" s="680"/>
      <c r="E10" s="680"/>
      <c r="F10" s="367"/>
      <c r="G10" s="367"/>
      <c r="H10" s="367"/>
    </row>
    <row r="11" spans="1:8" ht="6.75" customHeight="1">
      <c r="B11" s="238"/>
      <c r="C11" s="238"/>
      <c r="D11" s="238"/>
      <c r="E11" s="238"/>
      <c r="F11" s="238"/>
      <c r="G11" s="238"/>
      <c r="H11" s="238"/>
    </row>
    <row r="12" spans="1:8">
      <c r="B12" s="348" t="s">
        <v>380</v>
      </c>
      <c r="C12" s="348"/>
      <c r="D12" s="348"/>
      <c r="E12" s="348"/>
      <c r="F12" s="348"/>
      <c r="G12" s="348"/>
      <c r="H12" s="348"/>
    </row>
    <row r="13" spans="1:8">
      <c r="B13" s="348" t="s">
        <v>381</v>
      </c>
      <c r="C13" s="348"/>
      <c r="D13" s="348"/>
      <c r="E13" s="348"/>
      <c r="F13" s="348"/>
      <c r="G13" s="348"/>
      <c r="H13" s="348"/>
    </row>
    <row r="14" spans="1:8">
      <c r="B14" s="348" t="s">
        <v>382</v>
      </c>
      <c r="C14" s="348"/>
      <c r="D14" s="348"/>
      <c r="E14" s="348"/>
      <c r="F14" s="348"/>
      <c r="G14" s="348"/>
      <c r="H14" s="348"/>
    </row>
    <row r="15" spans="1:8" ht="6.75" customHeight="1">
      <c r="B15" s="46"/>
      <c r="C15" s="46"/>
      <c r="D15" s="46"/>
      <c r="E15" s="46"/>
      <c r="F15" s="46"/>
      <c r="G15" s="46"/>
      <c r="H15" s="46"/>
    </row>
    <row r="16" spans="1:8">
      <c r="B16" s="46" t="s">
        <v>388</v>
      </c>
      <c r="C16" s="623">
        <v>36409</v>
      </c>
      <c r="D16" s="46"/>
      <c r="E16" s="46"/>
      <c r="F16" s="46"/>
      <c r="G16" s="46"/>
      <c r="H16" s="46"/>
    </row>
    <row r="17" spans="2:8">
      <c r="B17" s="46" t="s">
        <v>389</v>
      </c>
      <c r="C17" s="300" t="s">
        <v>390</v>
      </c>
      <c r="D17" s="46"/>
      <c r="E17" s="46"/>
      <c r="F17" s="46"/>
      <c r="G17" s="46"/>
      <c r="H17" s="46"/>
    </row>
    <row r="18" spans="2:8" ht="26.25" customHeight="1">
      <c r="B18" s="672" t="s">
        <v>461</v>
      </c>
      <c r="C18" s="672"/>
      <c r="D18" s="672"/>
      <c r="E18" s="672"/>
      <c r="F18" s="367"/>
      <c r="G18" s="367"/>
      <c r="H18" s="367"/>
    </row>
    <row r="19" spans="2:8" ht="6.75" customHeight="1">
      <c r="B19" s="46"/>
      <c r="C19" s="46"/>
      <c r="D19" s="46"/>
      <c r="E19" s="46"/>
      <c r="F19" s="46"/>
      <c r="G19" s="46"/>
      <c r="H19" s="46"/>
    </row>
    <row r="20" spans="2:8">
      <c r="B20" s="46" t="s">
        <v>872</v>
      </c>
      <c r="C20" s="46"/>
      <c r="D20" s="46"/>
      <c r="E20" s="46"/>
      <c r="F20" s="46"/>
      <c r="G20" s="46"/>
      <c r="H20" s="46"/>
    </row>
    <row r="21" spans="2:8" ht="6.75" customHeight="1">
      <c r="B21" s="46"/>
      <c r="C21" s="46"/>
      <c r="D21" s="46"/>
      <c r="E21" s="46"/>
      <c r="F21" s="46"/>
      <c r="G21" s="46"/>
      <c r="H21" s="46"/>
    </row>
    <row r="22" spans="2:8" ht="64.5" customHeight="1">
      <c r="B22" s="680" t="s">
        <v>698</v>
      </c>
      <c r="C22" s="680"/>
      <c r="D22" s="680"/>
      <c r="E22" s="680"/>
      <c r="F22" s="577"/>
      <c r="G22" s="577"/>
      <c r="H22" s="577"/>
    </row>
    <row r="23" spans="2:8">
      <c r="B23" s="46"/>
      <c r="C23" s="46"/>
      <c r="D23" s="46"/>
      <c r="E23" s="46"/>
      <c r="F23" s="46"/>
      <c r="G23" s="46"/>
      <c r="H23" s="46"/>
    </row>
    <row r="24" spans="2:8">
      <c r="B24" s="46" t="s">
        <v>458</v>
      </c>
      <c r="C24" s="46"/>
      <c r="D24" s="46"/>
      <c r="E24" s="46"/>
      <c r="F24" s="46"/>
      <c r="G24" s="46"/>
      <c r="H24" s="46"/>
    </row>
    <row r="25" spans="2:8" ht="6.75" customHeight="1"/>
    <row r="26" spans="2:8" ht="15">
      <c r="C26" s="59">
        <f>This_year_ended</f>
        <v>41364</v>
      </c>
      <c r="D26" s="60"/>
      <c r="E26" s="60">
        <f>Last_year_ended</f>
        <v>40999</v>
      </c>
      <c r="G26" s="506"/>
    </row>
    <row r="27" spans="2:8" ht="15">
      <c r="C27" s="12" t="s">
        <v>24</v>
      </c>
      <c r="E27" s="128" t="s">
        <v>24</v>
      </c>
      <c r="G27" s="128"/>
    </row>
    <row r="28" spans="2:8">
      <c r="B28" s="492" t="s">
        <v>182</v>
      </c>
      <c r="C28" s="239">
        <v>773</v>
      </c>
      <c r="D28" s="225"/>
      <c r="E28" s="225">
        <v>777</v>
      </c>
      <c r="F28" s="225"/>
      <c r="G28" s="230"/>
    </row>
    <row r="29" spans="2:8">
      <c r="B29" s="492" t="s">
        <v>383</v>
      </c>
      <c r="C29" s="239">
        <v>3383</v>
      </c>
      <c r="D29" s="225"/>
      <c r="E29" s="225">
        <v>3199</v>
      </c>
      <c r="F29" s="225"/>
      <c r="G29" s="230"/>
    </row>
    <row r="30" spans="2:8">
      <c r="B30" s="492" t="s">
        <v>384</v>
      </c>
      <c r="C30" s="239">
        <v>6849</v>
      </c>
      <c r="D30" s="225"/>
      <c r="E30" s="225">
        <v>7620</v>
      </c>
      <c r="F30" s="225"/>
      <c r="G30" s="230"/>
    </row>
    <row r="31" spans="2:8" ht="15">
      <c r="B31" s="14" t="s">
        <v>391</v>
      </c>
      <c r="C31" s="301">
        <f>SUM(C28:C30)</f>
        <v>11005</v>
      </c>
      <c r="D31" s="225"/>
      <c r="E31" s="302">
        <f>SUM(E28:E30)</f>
        <v>11596</v>
      </c>
      <c r="G31" s="230"/>
    </row>
    <row r="32" spans="2:8">
      <c r="B32" s="492" t="s">
        <v>385</v>
      </c>
      <c r="C32" s="239">
        <v>-6246</v>
      </c>
      <c r="D32" s="225"/>
      <c r="E32" s="225">
        <v>-6767</v>
      </c>
      <c r="F32" s="225"/>
      <c r="G32" s="230"/>
    </row>
    <row r="33" spans="1:8" ht="15.75" thickBot="1">
      <c r="B33" s="14" t="s">
        <v>53</v>
      </c>
      <c r="C33" s="226">
        <f>SUM(C32,C31)</f>
        <v>4759</v>
      </c>
      <c r="D33" s="225"/>
      <c r="E33" s="227">
        <f>SUM(E32,E31)</f>
        <v>4829</v>
      </c>
      <c r="G33" s="230"/>
    </row>
    <row r="34" spans="1:8" ht="15.75" customHeight="1" thickTop="1">
      <c r="B34" s="492" t="s">
        <v>460</v>
      </c>
      <c r="C34" s="228"/>
      <c r="D34" s="225"/>
      <c r="E34" s="230"/>
      <c r="G34" s="182"/>
    </row>
    <row r="36" spans="1:8" s="14" customFormat="1" ht="15">
      <c r="A36" s="29">
        <v>32.299999999999997</v>
      </c>
      <c r="B36" s="14" t="s">
        <v>791</v>
      </c>
    </row>
    <row r="37" spans="1:8" ht="26.25" customHeight="1">
      <c r="B37" s="680" t="s">
        <v>703</v>
      </c>
      <c r="C37" s="680"/>
      <c r="D37" s="680"/>
      <c r="E37" s="680"/>
      <c r="F37" s="575"/>
      <c r="G37" s="575"/>
      <c r="H37" s="575"/>
    </row>
    <row r="38" spans="1:8" ht="8.25" customHeight="1"/>
    <row r="39" spans="1:8">
      <c r="B39" s="492" t="s">
        <v>447</v>
      </c>
    </row>
    <row r="40" spans="1:8" ht="6.75" customHeight="1"/>
    <row r="41" spans="1:8" ht="15">
      <c r="C41" s="59">
        <f>This_year_ended</f>
        <v>41364</v>
      </c>
      <c r="D41" s="60"/>
      <c r="E41" s="60">
        <f>Last_year_ended</f>
        <v>40999</v>
      </c>
      <c r="G41" s="506"/>
    </row>
    <row r="42" spans="1:8" ht="15">
      <c r="C42" s="12" t="s">
        <v>24</v>
      </c>
      <c r="E42" s="128" t="s">
        <v>24</v>
      </c>
      <c r="G42" s="128"/>
    </row>
    <row r="43" spans="1:8" ht="15">
      <c r="B43" s="14" t="s">
        <v>386</v>
      </c>
      <c r="C43" s="303"/>
      <c r="D43" s="304"/>
      <c r="E43" s="304"/>
      <c r="G43" s="182"/>
    </row>
    <row r="44" spans="1:8">
      <c r="B44" s="492" t="s">
        <v>182</v>
      </c>
      <c r="C44" s="239">
        <v>504</v>
      </c>
      <c r="D44" s="225"/>
      <c r="E44" s="225">
        <v>485</v>
      </c>
      <c r="F44" s="225"/>
      <c r="G44" s="230"/>
    </row>
    <row r="45" spans="1:8">
      <c r="B45" s="492" t="s">
        <v>383</v>
      </c>
      <c r="C45" s="239">
        <v>2147</v>
      </c>
      <c r="D45" s="225"/>
      <c r="E45" s="225">
        <v>2065</v>
      </c>
      <c r="F45" s="225"/>
      <c r="G45" s="230"/>
    </row>
    <row r="46" spans="1:8">
      <c r="B46" s="492" t="s">
        <v>384</v>
      </c>
      <c r="C46" s="239">
        <v>4307</v>
      </c>
      <c r="D46" s="225"/>
      <c r="E46" s="225">
        <v>4795</v>
      </c>
      <c r="F46" s="225"/>
      <c r="G46" s="230"/>
    </row>
    <row r="47" spans="1:8" ht="15.75" thickBot="1">
      <c r="B47" s="14" t="s">
        <v>53</v>
      </c>
      <c r="C47" s="226">
        <f>SUM(C44:C46)</f>
        <v>6958</v>
      </c>
      <c r="D47" s="225"/>
      <c r="E47" s="227">
        <f>SUM(E44:E46)</f>
        <v>7345</v>
      </c>
      <c r="F47" s="225"/>
      <c r="G47" s="230"/>
    </row>
    <row r="48" spans="1:8" ht="15" thickTop="1"/>
    <row r="49" spans="2:2">
      <c r="B49" s="46"/>
    </row>
  </sheetData>
  <mergeCells count="5">
    <mergeCell ref="B22:E22"/>
    <mergeCell ref="B18:E18"/>
    <mergeCell ref="B9:E9"/>
    <mergeCell ref="B10:E10"/>
    <mergeCell ref="B37:E37"/>
  </mergeCells>
  <pageMargins left="0.70866141732283472" right="0.70866141732283472" top="0.51181102362204722" bottom="0.74803149606299213" header="0.31496062992125984" footer="0.31496062992125984"/>
  <pageSetup paperSize="9" orientation="portrait" verticalDpi="200" r:id="rId1"/>
  <headerFooter scaleWithDoc="0">
    <oddHeader>&amp;COxford Health NHS Foundation Trust - Annual Accounts 2012/13</oddHeader>
    <oddFooter>&amp;CPage 38</oddFooter>
  </headerFooter>
</worksheet>
</file>

<file path=xl/worksheets/sheet31.xml><?xml version="1.0" encoding="utf-8"?>
<worksheet xmlns="http://schemas.openxmlformats.org/spreadsheetml/2006/main" xmlns:r="http://schemas.openxmlformats.org/officeDocument/2006/relationships">
  <sheetPr codeName="Sheet29"/>
  <dimension ref="A1:J26"/>
  <sheetViews>
    <sheetView view="pageLayout" topLeftCell="A26" workbookViewId="0">
      <selection activeCell="B46" sqref="B46"/>
    </sheetView>
  </sheetViews>
  <sheetFormatPr defaultRowHeight="14.25"/>
  <cols>
    <col min="1" max="1" width="5.5703125" style="20" bestFit="1" customWidth="1"/>
    <col min="2" max="2" width="23" style="13" customWidth="1"/>
    <col min="3" max="3" width="11.28515625" style="13" customWidth="1"/>
    <col min="4" max="4" width="16.85546875" style="13" customWidth="1"/>
    <col min="5" max="6" width="9.140625" style="13"/>
    <col min="7" max="10" width="9.140625" style="13" customWidth="1"/>
    <col min="11" max="16384" width="9.140625" style="13"/>
  </cols>
  <sheetData>
    <row r="1" spans="1:10">
      <c r="A1" s="58"/>
      <c r="B1" s="19"/>
      <c r="C1" s="19"/>
      <c r="D1" s="19"/>
      <c r="E1" s="19"/>
      <c r="F1" s="19"/>
      <c r="G1" s="19"/>
      <c r="H1" s="182"/>
    </row>
    <row r="2" spans="1:10" s="14" customFormat="1" ht="15">
      <c r="A2" s="29">
        <v>33</v>
      </c>
      <c r="B2" s="14" t="s">
        <v>392</v>
      </c>
    </row>
    <row r="4" spans="1:10" ht="24.75" customHeight="1">
      <c r="B4" s="665" t="str">
        <f>"Commitments under capital expenditure contracts at " &amp;TEXT(This_year_ended,"dd mmmm yyyy") &amp; " were £13,127k" &amp; " (" &amp; ( TEXT(Last_year_ended, "dd mmmm yyyy") &amp; " £8,259k)")</f>
        <v>Commitments under capital expenditure contracts at 31 March 2013 were £13,127k (31 March 2012 £8,259k)</v>
      </c>
      <c r="C4" s="665"/>
      <c r="D4" s="665"/>
      <c r="E4" s="665"/>
      <c r="F4" s="665"/>
      <c r="G4" s="665"/>
      <c r="H4" s="575"/>
      <c r="I4" s="575"/>
      <c r="J4" s="575"/>
    </row>
    <row r="5" spans="1:10" ht="25.5" customHeight="1">
      <c r="B5" s="681" t="s">
        <v>817</v>
      </c>
      <c r="C5" s="681"/>
      <c r="D5" s="681"/>
      <c r="E5" s="681"/>
      <c r="F5" s="681"/>
      <c r="G5" s="681"/>
      <c r="H5" s="576"/>
    </row>
    <row r="6" spans="1:10">
      <c r="B6" s="524"/>
      <c r="C6" s="524"/>
      <c r="D6" s="524"/>
      <c r="E6" s="524"/>
      <c r="F6" s="524"/>
      <c r="G6" s="524"/>
      <c r="H6" s="524"/>
    </row>
    <row r="7" spans="1:10" s="14" customFormat="1" ht="15">
      <c r="A7" s="29">
        <v>34</v>
      </c>
      <c r="B7" s="14" t="s">
        <v>393</v>
      </c>
    </row>
    <row r="8" spans="1:10" s="571" customFormat="1" ht="91.5" customHeight="1">
      <c r="B8" s="664" t="s">
        <v>820</v>
      </c>
      <c r="C8" s="664"/>
      <c r="D8" s="664"/>
      <c r="E8" s="664"/>
      <c r="F8" s="664"/>
      <c r="G8" s="664"/>
      <c r="H8" s="367"/>
      <c r="I8" s="367"/>
      <c r="J8" s="559"/>
    </row>
    <row r="9" spans="1:10" s="571" customFormat="1" ht="10.5" customHeight="1">
      <c r="B9" s="556"/>
      <c r="C9" s="556"/>
      <c r="D9" s="556"/>
      <c r="E9" s="556"/>
      <c r="F9" s="556"/>
      <c r="G9" s="556"/>
      <c r="H9" s="556"/>
      <c r="I9" s="556"/>
      <c r="J9" s="559"/>
    </row>
    <row r="10" spans="1:10" s="571" customFormat="1" ht="78.75" customHeight="1">
      <c r="B10" s="664" t="s">
        <v>834</v>
      </c>
      <c r="C10" s="664"/>
      <c r="D10" s="664"/>
      <c r="E10" s="664"/>
      <c r="F10" s="664"/>
      <c r="G10" s="664"/>
      <c r="H10" s="367"/>
      <c r="I10" s="367"/>
      <c r="J10" s="559"/>
    </row>
    <row r="12" spans="1:10" s="14" customFormat="1" ht="15">
      <c r="A12" s="29">
        <v>35</v>
      </c>
      <c r="B12" s="14" t="s">
        <v>394</v>
      </c>
    </row>
    <row r="14" spans="1:10" s="14" customFormat="1" ht="15">
      <c r="A14" s="29">
        <v>35.1</v>
      </c>
      <c r="B14" s="14" t="s">
        <v>395</v>
      </c>
    </row>
    <row r="15" spans="1:10" ht="15">
      <c r="C15" s="120" t="str">
        <f>This_year</f>
        <v>2012/13</v>
      </c>
      <c r="D15" s="121" t="str">
        <f>Last_year</f>
        <v>2011/12</v>
      </c>
    </row>
    <row r="16" spans="1:10" ht="15">
      <c r="C16" s="12" t="s">
        <v>24</v>
      </c>
      <c r="D16" s="128" t="s">
        <v>24</v>
      </c>
    </row>
    <row r="17" spans="1:4">
      <c r="B17" s="299" t="s">
        <v>322</v>
      </c>
      <c r="C17" s="129">
        <v>0</v>
      </c>
      <c r="D17" s="130">
        <v>0</v>
      </c>
    </row>
    <row r="18" spans="1:4">
      <c r="B18" s="299" t="s">
        <v>173</v>
      </c>
      <c r="C18" s="129">
        <v>0</v>
      </c>
      <c r="D18" s="130">
        <v>0</v>
      </c>
    </row>
    <row r="19" spans="1:4" ht="15" thickBot="1">
      <c r="B19" s="299"/>
      <c r="C19" s="131">
        <f>SUM(C17:C18)</f>
        <v>0</v>
      </c>
      <c r="D19" s="132">
        <f>SUM(D17:D18)</f>
        <v>0</v>
      </c>
    </row>
    <row r="20" spans="1:4" ht="15" thickTop="1">
      <c r="C20" s="121"/>
      <c r="D20" s="121"/>
    </row>
    <row r="21" spans="1:4" s="14" customFormat="1" ht="15">
      <c r="A21" s="29">
        <v>35.200000000000003</v>
      </c>
      <c r="B21" s="14" t="s">
        <v>323</v>
      </c>
      <c r="C21" s="120"/>
      <c r="D21" s="120"/>
    </row>
    <row r="22" spans="1:4" ht="15">
      <c r="C22" s="120" t="str">
        <f>This_year</f>
        <v>2012/13</v>
      </c>
      <c r="D22" s="121" t="str">
        <f>Last_year</f>
        <v>2011/12</v>
      </c>
    </row>
    <row r="23" spans="1:4" ht="15">
      <c r="C23" s="12" t="s">
        <v>24</v>
      </c>
      <c r="D23" s="128" t="s">
        <v>24</v>
      </c>
    </row>
    <row r="24" spans="1:4">
      <c r="B24" s="299" t="s">
        <v>323</v>
      </c>
      <c r="C24" s="129">
        <v>0</v>
      </c>
      <c r="D24" s="130">
        <v>0</v>
      </c>
    </row>
    <row r="25" spans="1:4" ht="15" thickBot="1">
      <c r="B25" s="299"/>
      <c r="C25" s="131">
        <f>SUM(C24:C24)</f>
        <v>0</v>
      </c>
      <c r="D25" s="132">
        <f>SUM(D24:D24)</f>
        <v>0</v>
      </c>
    </row>
    <row r="26" spans="1:4" ht="15" thickTop="1"/>
  </sheetData>
  <mergeCells count="4">
    <mergeCell ref="B4:G4"/>
    <mergeCell ref="B5:G5"/>
    <mergeCell ref="B8:G8"/>
    <mergeCell ref="B10:G10"/>
  </mergeCells>
  <pageMargins left="0.70866141732283472" right="0.70866141732283472" top="0.51181102362204722" bottom="0.74803149606299213" header="0.31496062992125984" footer="0.31496062992125984"/>
  <pageSetup paperSize="9" orientation="portrait" verticalDpi="200" r:id="rId1"/>
  <headerFooter scaleWithDoc="0">
    <oddHeader>&amp;COxford Health NHS Foundation Trust - Annual Accounts 2012/13</oddHeader>
    <oddFooter>&amp;CPage 39</oddFooter>
  </headerFooter>
</worksheet>
</file>

<file path=xl/worksheets/sheet32.xml><?xml version="1.0" encoding="utf-8"?>
<worksheet xmlns="http://schemas.openxmlformats.org/spreadsheetml/2006/main" xmlns:r="http://schemas.openxmlformats.org/officeDocument/2006/relationships">
  <sheetPr codeName="Sheet30">
    <pageSetUpPr fitToPage="1"/>
  </sheetPr>
  <dimension ref="A1:C47"/>
  <sheetViews>
    <sheetView view="pageLayout" topLeftCell="A31" zoomScale="90" zoomScalePageLayoutView="90" workbookViewId="0">
      <selection activeCell="B46" sqref="B46"/>
    </sheetView>
  </sheetViews>
  <sheetFormatPr defaultRowHeight="14.25"/>
  <cols>
    <col min="1" max="1" width="3.85546875" style="20" customWidth="1"/>
    <col min="2" max="2" width="87.85546875" style="13" customWidth="1"/>
    <col min="3" max="3" width="4.42578125" style="13" customWidth="1"/>
    <col min="4" max="16384" width="9.140625" style="13"/>
  </cols>
  <sheetData>
    <row r="1" spans="1:3">
      <c r="A1" s="58"/>
      <c r="B1" s="19"/>
    </row>
    <row r="2" spans="1:3" s="174" customFormat="1" ht="15.75">
      <c r="A2" s="29">
        <v>36</v>
      </c>
      <c r="B2" s="14" t="s">
        <v>324</v>
      </c>
    </row>
    <row r="3" spans="1:3" ht="31.5" customHeight="1">
      <c r="B3" s="672" t="str">
        <f>Trust_name &amp; " is a body corporately established by order of the Secretary of State for Health."</f>
        <v>Oxford Health NHS Foundation Trust is a body corporately established by order of the Secretary of State for Health.</v>
      </c>
      <c r="C3" s="672"/>
    </row>
    <row r="4" spans="1:3" ht="11.25" customHeight="1">
      <c r="B4" s="576"/>
      <c r="C4" s="576"/>
    </row>
    <row r="5" spans="1:3" ht="63" customHeight="1">
      <c r="B5" s="672" t="s">
        <v>813</v>
      </c>
      <c r="C5" s="672"/>
    </row>
    <row r="6" spans="1:3" ht="7.5" customHeight="1">
      <c r="B6" s="613"/>
      <c r="C6" s="576"/>
    </row>
    <row r="7" spans="1:3">
      <c r="B7" s="576" t="s">
        <v>325</v>
      </c>
      <c r="C7" s="576"/>
    </row>
    <row r="8" spans="1:3">
      <c r="B8" s="576" t="s">
        <v>326</v>
      </c>
      <c r="C8" s="576"/>
    </row>
    <row r="9" spans="1:3">
      <c r="B9" s="576" t="s">
        <v>327</v>
      </c>
      <c r="C9" s="576"/>
    </row>
    <row r="10" spans="1:3">
      <c r="B10" s="576" t="s">
        <v>593</v>
      </c>
      <c r="C10" s="576"/>
    </row>
    <row r="11" spans="1:3">
      <c r="B11" s="576" t="s">
        <v>799</v>
      </c>
      <c r="C11" s="576"/>
    </row>
    <row r="12" spans="1:3">
      <c r="B12" s="576" t="s">
        <v>438</v>
      </c>
      <c r="C12" s="576"/>
    </row>
    <row r="13" spans="1:3">
      <c r="B13" s="576" t="s">
        <v>291</v>
      </c>
      <c r="C13" s="576"/>
    </row>
    <row r="14" spans="1:3">
      <c r="B14" s="576" t="s">
        <v>800</v>
      </c>
      <c r="C14" s="576"/>
    </row>
    <row r="15" spans="1:3">
      <c r="B15" s="576" t="s">
        <v>594</v>
      </c>
      <c r="C15" s="576"/>
    </row>
    <row r="16" spans="1:3">
      <c r="B16" s="576" t="s">
        <v>328</v>
      </c>
      <c r="C16" s="576"/>
    </row>
    <row r="17" spans="1:3">
      <c r="A17" s="13"/>
      <c r="B17" s="576" t="s">
        <v>439</v>
      </c>
      <c r="C17" s="576"/>
    </row>
    <row r="18" spans="1:3" ht="14.25" customHeight="1">
      <c r="A18" s="13"/>
      <c r="B18" s="576" t="s">
        <v>801</v>
      </c>
      <c r="C18" s="576"/>
    </row>
    <row r="19" spans="1:3">
      <c r="A19" s="13"/>
      <c r="B19" s="576" t="s">
        <v>596</v>
      </c>
      <c r="C19" s="576"/>
    </row>
    <row r="20" spans="1:3">
      <c r="A20" s="13"/>
      <c r="B20" s="576" t="s">
        <v>595</v>
      </c>
      <c r="C20" s="576"/>
    </row>
    <row r="21" spans="1:3">
      <c r="A21" s="13"/>
      <c r="B21" s="576" t="s">
        <v>597</v>
      </c>
      <c r="C21" s="576"/>
    </row>
    <row r="22" spans="1:3">
      <c r="A22" s="13"/>
      <c r="B22" s="576" t="s">
        <v>329</v>
      </c>
      <c r="C22" s="576"/>
    </row>
    <row r="23" spans="1:3">
      <c r="A23" s="13"/>
      <c r="B23" s="576" t="s">
        <v>802</v>
      </c>
      <c r="C23" s="576"/>
    </row>
    <row r="24" spans="1:3">
      <c r="A24" s="13"/>
      <c r="B24" s="576" t="s">
        <v>600</v>
      </c>
      <c r="C24" s="576"/>
    </row>
    <row r="25" spans="1:3">
      <c r="A25" s="13"/>
      <c r="B25" s="576" t="s">
        <v>598</v>
      </c>
      <c r="C25" s="576"/>
    </row>
    <row r="26" spans="1:3">
      <c r="A26" s="13"/>
      <c r="B26" s="576" t="s">
        <v>803</v>
      </c>
      <c r="C26" s="576"/>
    </row>
    <row r="27" spans="1:3">
      <c r="A27" s="13"/>
      <c r="B27" s="576" t="s">
        <v>330</v>
      </c>
      <c r="C27" s="576"/>
    </row>
    <row r="28" spans="1:3">
      <c r="A28" s="13"/>
      <c r="B28" s="576" t="s">
        <v>599</v>
      </c>
      <c r="C28" s="576"/>
    </row>
    <row r="29" spans="1:3" ht="14.25" customHeight="1">
      <c r="A29" s="13"/>
      <c r="B29" s="576"/>
      <c r="C29" s="576"/>
    </row>
    <row r="30" spans="1:3" ht="14.25" customHeight="1">
      <c r="A30" s="13"/>
      <c r="B30" s="567" t="s">
        <v>614</v>
      </c>
      <c r="C30" s="576"/>
    </row>
    <row r="31" spans="1:3" ht="14.25" customHeight="1">
      <c r="A31" s="13"/>
      <c r="B31" s="576" t="s">
        <v>601</v>
      </c>
      <c r="C31" s="576"/>
    </row>
    <row r="32" spans="1:3" ht="14.25" customHeight="1">
      <c r="A32" s="13"/>
      <c r="B32" s="576" t="s">
        <v>602</v>
      </c>
      <c r="C32" s="576"/>
    </row>
    <row r="33" spans="1:3" ht="14.25" customHeight="1">
      <c r="A33" s="13"/>
      <c r="B33" s="576" t="s">
        <v>603</v>
      </c>
      <c r="C33" s="576"/>
    </row>
    <row r="34" spans="1:3" ht="14.25" customHeight="1">
      <c r="A34" s="13"/>
      <c r="B34" s="576" t="s">
        <v>804</v>
      </c>
      <c r="C34" s="576"/>
    </row>
    <row r="35" spans="1:3" ht="14.25" customHeight="1">
      <c r="A35" s="13"/>
      <c r="B35" s="576" t="s">
        <v>805</v>
      </c>
      <c r="C35" s="576"/>
    </row>
    <row r="36" spans="1:3" ht="14.25" customHeight="1">
      <c r="A36" s="13"/>
      <c r="B36" s="576" t="s">
        <v>806</v>
      </c>
      <c r="C36" s="576"/>
    </row>
    <row r="37" spans="1:3" ht="14.25" customHeight="1">
      <c r="A37" s="13"/>
      <c r="B37" s="576"/>
      <c r="C37" s="576"/>
    </row>
    <row r="38" spans="1:3" ht="30.75" customHeight="1">
      <c r="A38" s="13"/>
      <c r="B38" s="615" t="str">
        <f>"During the year none of the Board Members or members of the key management staff or parties related to them has undertaken any material transactions with " &amp; Trust_name &amp;"."</f>
        <v>During the year none of the Board Members or members of the key management staff or parties related to them has undertaken any material transactions with Oxford Health NHS Foundation Trust.</v>
      </c>
      <c r="C38" s="576"/>
    </row>
    <row r="39" spans="1:3" ht="12.75" customHeight="1">
      <c r="A39" s="13"/>
      <c r="B39" s="613"/>
      <c r="C39" s="615"/>
    </row>
    <row r="40" spans="1:3" ht="28.5" customHeight="1">
      <c r="A40" s="13"/>
      <c r="B40" s="615" t="s">
        <v>539</v>
      </c>
      <c r="C40" s="613"/>
    </row>
    <row r="41" spans="1:3" ht="9" customHeight="1">
      <c r="A41" s="13"/>
      <c r="B41" s="576"/>
      <c r="C41" s="615"/>
    </row>
    <row r="42" spans="1:3" ht="29.25" customHeight="1">
      <c r="A42" s="13"/>
      <c r="B42" s="558" t="str">
        <f xml:space="preserve"> "The Trust manages the Oxfordshire Pharmacy Store, a shortline pharmaceutical supplier to other NHS organisations. The turnover for the year " &amp; This_year &amp; " was £16,209k (£17,363k in " &amp; Last_year &amp; ")."</f>
        <v>The Trust manages the Oxfordshire Pharmacy Store, a shortline pharmaceutical supplier to other NHS organisations. The turnover for the year 2012/13 was £16,209k (£17,363k in 2011/12).</v>
      </c>
      <c r="C42" s="576"/>
    </row>
    <row r="43" spans="1:3" ht="14.25" customHeight="1">
      <c r="A43" s="13"/>
      <c r="B43" s="576"/>
      <c r="C43" s="558"/>
    </row>
    <row r="44" spans="1:3" ht="26.25" customHeight="1">
      <c r="A44" s="13"/>
      <c r="B44" s="615" t="s">
        <v>331</v>
      </c>
      <c r="C44" s="576"/>
    </row>
    <row r="45" spans="1:3" ht="9" customHeight="1">
      <c r="A45" s="13"/>
      <c r="B45" s="576"/>
      <c r="C45" s="615"/>
    </row>
    <row r="46" spans="1:3" ht="14.25" customHeight="1">
      <c r="A46" s="13"/>
      <c r="B46" s="558" t="s">
        <v>332</v>
      </c>
      <c r="C46" s="576"/>
    </row>
    <row r="47" spans="1:3">
      <c r="A47" s="13"/>
      <c r="C47" s="558"/>
    </row>
  </sheetData>
  <mergeCells count="2">
    <mergeCell ref="B3:C3"/>
    <mergeCell ref="B5:C5"/>
  </mergeCells>
  <pageMargins left="0.7" right="0.43981481481481483" top="0.51020833333333337" bottom="0.75" header="0.3" footer="0.3"/>
  <pageSetup paperSize="9" scale="94" orientation="portrait" verticalDpi="200" r:id="rId1"/>
  <headerFooter scaleWithDoc="0">
    <oddHeader>&amp;COxford Health NHS Foundation Trust - Annual Accounts 2012/13</oddHeader>
    <oddFooter>&amp;CPage 40</oddFooter>
  </headerFooter>
</worksheet>
</file>

<file path=xl/worksheets/sheet33.xml><?xml version="1.0" encoding="utf-8"?>
<worksheet xmlns="http://schemas.openxmlformats.org/spreadsheetml/2006/main" xmlns:r="http://schemas.openxmlformats.org/officeDocument/2006/relationships">
  <sheetPr codeName="Sheet31">
    <pageSetUpPr fitToPage="1"/>
  </sheetPr>
  <dimension ref="A1:E31"/>
  <sheetViews>
    <sheetView view="pageLayout" topLeftCell="A31" workbookViewId="0">
      <selection activeCell="B46" sqref="B46"/>
    </sheetView>
  </sheetViews>
  <sheetFormatPr defaultRowHeight="14.25"/>
  <cols>
    <col min="1" max="1" width="5.5703125" style="20" customWidth="1"/>
    <col min="2" max="2" width="28.28515625" style="13" customWidth="1"/>
    <col min="3" max="3" width="14.42578125" style="13" customWidth="1"/>
    <col min="4" max="4" width="16.7109375" style="13" customWidth="1"/>
    <col min="5" max="5" width="19.28515625" style="13" customWidth="1"/>
    <col min="6" max="6" width="14.140625" style="13" customWidth="1"/>
    <col min="7" max="7" width="9" style="13" customWidth="1"/>
    <col min="8" max="8" width="1.140625" style="13" customWidth="1"/>
    <col min="9" max="11" width="0" style="13" hidden="1" customWidth="1"/>
    <col min="12" max="12" width="5.140625" style="13" customWidth="1"/>
    <col min="13" max="13" width="0" style="13" hidden="1" customWidth="1"/>
    <col min="14" max="16384" width="9.140625" style="13"/>
  </cols>
  <sheetData>
    <row r="1" spans="1:5">
      <c r="A1" s="610"/>
      <c r="B1" s="611"/>
      <c r="C1" s="611"/>
      <c r="D1" s="611"/>
      <c r="E1" s="611"/>
    </row>
    <row r="2" spans="1:5" s="174" customFormat="1" ht="15.75">
      <c r="A2" s="29">
        <v>37</v>
      </c>
      <c r="B2" s="14" t="s">
        <v>45</v>
      </c>
      <c r="C2" s="14"/>
      <c r="D2" s="14"/>
    </row>
    <row r="4" spans="1:5" ht="57.75" customHeight="1">
      <c r="B4" s="683" t="str">
        <f>"The Trust is required to deliver a public dividend capital dividend at a rate of 3.5% of average relevant net assets (the average of the opening and closing " &amp; This_year &amp; " balance sheet positions). For " &amp; Trust_name &amp; " in " &amp; This_year &amp; " this rate is calculated as follows:"</f>
        <v>The Trust is required to deliver a public dividend capital dividend at a rate of 3.5% of average relevant net assets (the average of the opening and closing 2012/13 balance sheet positions). For Oxford Health NHS Foundation Trust in 2012/13 this rate is calculated as follows:</v>
      </c>
      <c r="C4" s="683"/>
      <c r="D4" s="683"/>
      <c r="E4" s="683"/>
    </row>
    <row r="6" spans="1:5" ht="15">
      <c r="B6" s="306"/>
      <c r="C6" s="307" t="s">
        <v>24</v>
      </c>
    </row>
    <row r="7" spans="1:5" ht="15">
      <c r="B7" s="306" t="s">
        <v>333</v>
      </c>
      <c r="C7" s="308">
        <v>108233</v>
      </c>
      <c r="D7" s="223"/>
    </row>
    <row r="8" spans="1:5" ht="15">
      <c r="B8" s="306" t="s">
        <v>334</v>
      </c>
      <c r="C8" s="308">
        <v>85748</v>
      </c>
    </row>
    <row r="9" spans="1:5" ht="15">
      <c r="B9" s="306" t="s">
        <v>335</v>
      </c>
      <c r="C9" s="308">
        <v>96986</v>
      </c>
    </row>
    <row r="10" spans="1:5" ht="15">
      <c r="B10" s="306" t="str">
        <f>This_year &amp; " PDC dividend"</f>
        <v>2012/13 PDC dividend</v>
      </c>
      <c r="C10" s="308">
        <v>3395</v>
      </c>
    </row>
    <row r="11" spans="1:5" ht="15">
      <c r="B11" s="306" t="s">
        <v>336</v>
      </c>
      <c r="C11" s="309">
        <v>3.5000000000000003E-2</v>
      </c>
    </row>
    <row r="13" spans="1:5" s="174" customFormat="1" ht="15.75">
      <c r="A13" s="29">
        <v>38</v>
      </c>
      <c r="B13" s="14" t="s">
        <v>797</v>
      </c>
      <c r="C13" s="14"/>
      <c r="D13" s="14"/>
    </row>
    <row r="14" spans="1:5" ht="29.25" customHeight="1">
      <c r="B14" s="672" t="s">
        <v>337</v>
      </c>
      <c r="C14" s="672"/>
      <c r="D14" s="672"/>
      <c r="E14" s="672"/>
    </row>
    <row r="15" spans="1:5" ht="38.25" customHeight="1">
      <c r="B15" s="684" t="s">
        <v>615</v>
      </c>
      <c r="C15" s="684"/>
      <c r="D15" s="684"/>
      <c r="E15" s="684"/>
    </row>
    <row r="16" spans="1:5" ht="14.25" customHeight="1">
      <c r="B16" s="672" t="s">
        <v>616</v>
      </c>
      <c r="C16" s="672"/>
      <c r="D16" s="672"/>
      <c r="E16" s="672"/>
    </row>
    <row r="17" spans="1:5">
      <c r="B17" s="576"/>
      <c r="C17" s="576"/>
      <c r="D17" s="576"/>
    </row>
    <row r="18" spans="1:5" ht="39" customHeight="1">
      <c r="B18" s="672" t="s">
        <v>338</v>
      </c>
      <c r="C18" s="672"/>
      <c r="D18" s="672"/>
      <c r="E18" s="672"/>
    </row>
    <row r="19" spans="1:5">
      <c r="B19" s="576"/>
      <c r="C19" s="576"/>
      <c r="D19" s="576"/>
    </row>
    <row r="20" spans="1:5" ht="27.75" customHeight="1">
      <c r="B20" s="685" t="str">
        <f>"The Trust had a Prudential Borrowing Limit of £62.0m in " &amp; This_year &amp; " (£56.1m, 2011/12), against which the Trust had total long term borrowing commitments of £32.9m (£33.0m, 2011/12)."</f>
        <v>The Trust had a Prudential Borrowing Limit of £62.0m in 2012/13 (£56.1m, 2011/12), against which the Trust had total long term borrowing commitments of £32.9m (£33.0m, 2011/12).</v>
      </c>
      <c r="C20" s="685"/>
      <c r="D20" s="685"/>
      <c r="E20" s="685"/>
    </row>
    <row r="21" spans="1:5" ht="9" customHeight="1">
      <c r="B21" s="576"/>
      <c r="C21" s="576"/>
      <c r="D21" s="576"/>
    </row>
    <row r="22" spans="1:5" ht="14.25" customHeight="1">
      <c r="B22" s="682" t="s">
        <v>339</v>
      </c>
      <c r="C22" s="682"/>
      <c r="D22" s="682"/>
      <c r="E22" s="682"/>
    </row>
    <row r="23" spans="1:5" s="257" customFormat="1" ht="141.6" customHeight="1">
      <c r="A23" s="231"/>
      <c r="B23" s="310" t="s">
        <v>796</v>
      </c>
      <c r="C23" s="310" t="str">
        <f>"Actual ratios based on "&amp; This_year &amp;" financial performance and standing"</f>
        <v>Actual ratios based on 2012/13 financial performance and standing</v>
      </c>
      <c r="D23" s="310" t="str">
        <f>"Actual ratios based on 2011/12 financial performance and standing"</f>
        <v>Actual ratios based on 2011/12 financial performance and standing</v>
      </c>
      <c r="E23" s="310" t="s">
        <v>340</v>
      </c>
    </row>
    <row r="24" spans="1:5">
      <c r="B24" s="311" t="s">
        <v>341</v>
      </c>
      <c r="C24" s="574">
        <v>4.0999999999999996</v>
      </c>
      <c r="D24" s="574">
        <v>3.3</v>
      </c>
      <c r="E24" s="572" t="s">
        <v>342</v>
      </c>
    </row>
    <row r="25" spans="1:5">
      <c r="B25" s="311" t="s">
        <v>343</v>
      </c>
      <c r="C25" s="574">
        <v>9.6</v>
      </c>
      <c r="D25" s="574">
        <v>10.3</v>
      </c>
      <c r="E25" s="572" t="s">
        <v>344</v>
      </c>
    </row>
    <row r="26" spans="1:5">
      <c r="B26" s="311" t="s">
        <v>345</v>
      </c>
      <c r="C26" s="574">
        <v>9</v>
      </c>
      <c r="D26" s="574">
        <v>9.6</v>
      </c>
      <c r="E26" s="572" t="s">
        <v>346</v>
      </c>
    </row>
    <row r="27" spans="1:5">
      <c r="B27" s="311" t="s">
        <v>347</v>
      </c>
      <c r="C27" s="573">
        <v>6.0000000000000001E-3</v>
      </c>
      <c r="D27" s="573">
        <v>5.0000000000000001E-3</v>
      </c>
      <c r="E27" s="572" t="s">
        <v>430</v>
      </c>
    </row>
    <row r="29" spans="1:5" ht="60" customHeight="1">
      <c r="B29" s="684" t="s">
        <v>448</v>
      </c>
      <c r="C29" s="684"/>
      <c r="D29" s="684"/>
      <c r="E29" s="684"/>
    </row>
    <row r="31" spans="1:5" ht="27" customHeight="1">
      <c r="B31" s="685" t="s">
        <v>848</v>
      </c>
      <c r="C31" s="685"/>
      <c r="D31" s="685"/>
      <c r="E31" s="685"/>
    </row>
  </sheetData>
  <mergeCells count="9">
    <mergeCell ref="B22:E22"/>
    <mergeCell ref="B4:E4"/>
    <mergeCell ref="B29:E29"/>
    <mergeCell ref="B31:E31"/>
    <mergeCell ref="B20:E20"/>
    <mergeCell ref="B18:E18"/>
    <mergeCell ref="B16:E16"/>
    <mergeCell ref="B15:E15"/>
    <mergeCell ref="B14:E14"/>
  </mergeCells>
  <pageMargins left="0.7" right="0.7" top="0.50520833333333337" bottom="0.75" header="0.3" footer="0.3"/>
  <pageSetup paperSize="9" orientation="portrait" verticalDpi="200" r:id="rId1"/>
  <headerFooter scaleWithDoc="0">
    <oddHeader xml:space="preserve">&amp;COxford Health NHS Foundation Trust - Annual Accounts 2012/13
</oddHeader>
    <oddFooter>&amp;CPage 41</oddFooter>
  </headerFooter>
</worksheet>
</file>

<file path=xl/worksheets/sheet34.xml><?xml version="1.0" encoding="utf-8"?>
<worksheet xmlns="http://schemas.openxmlformats.org/spreadsheetml/2006/main" xmlns:r="http://schemas.openxmlformats.org/officeDocument/2006/relationships">
  <sheetPr codeName="Sheet32">
    <pageSetUpPr fitToPage="1"/>
  </sheetPr>
  <dimension ref="A1:I46"/>
  <sheetViews>
    <sheetView tabSelected="1" view="pageLayout" topLeftCell="A25" zoomScale="80" zoomScalePageLayoutView="80" workbookViewId="0">
      <selection activeCell="C41" sqref="C41:C43"/>
    </sheetView>
  </sheetViews>
  <sheetFormatPr defaultRowHeight="14.25"/>
  <cols>
    <col min="1" max="1" width="5.42578125" style="20" customWidth="1"/>
    <col min="2" max="2" width="27.85546875" style="13" customWidth="1"/>
    <col min="3" max="3" width="18.28515625" style="13" customWidth="1"/>
    <col min="4" max="4" width="1.7109375" style="13" customWidth="1"/>
    <col min="5" max="5" width="13.85546875" style="13" customWidth="1"/>
    <col min="6" max="6" width="1.7109375" style="13" customWidth="1"/>
    <col min="7" max="7" width="12.28515625" style="13" customWidth="1"/>
    <col min="8" max="8" width="1.7109375" style="13" customWidth="1"/>
    <col min="9" max="16384" width="9.140625" style="13"/>
  </cols>
  <sheetData>
    <row r="1" spans="1:9">
      <c r="A1" s="58"/>
      <c r="B1" s="19"/>
      <c r="C1" s="19"/>
      <c r="D1" s="19"/>
      <c r="E1" s="19"/>
      <c r="F1" s="19"/>
      <c r="G1" s="19"/>
      <c r="H1" s="19"/>
      <c r="I1" s="19"/>
    </row>
    <row r="2" spans="1:9" s="174" customFormat="1" ht="15.75">
      <c r="A2" s="29">
        <v>39</v>
      </c>
      <c r="B2" s="14" t="s">
        <v>810</v>
      </c>
      <c r="C2" s="14"/>
      <c r="D2" s="14"/>
      <c r="E2" s="14"/>
      <c r="F2" s="14"/>
      <c r="G2" s="14"/>
      <c r="H2" s="14"/>
      <c r="I2" s="14"/>
    </row>
    <row r="3" spans="1:9" s="14" customFormat="1" ht="15">
      <c r="A3" s="29">
        <v>39.1</v>
      </c>
      <c r="B3" s="14" t="s">
        <v>811</v>
      </c>
    </row>
    <row r="4" spans="1:9" s="363" customFormat="1" ht="45">
      <c r="C4" s="363" t="s">
        <v>511</v>
      </c>
      <c r="E4" s="363" t="s">
        <v>812</v>
      </c>
      <c r="G4" s="363" t="s">
        <v>348</v>
      </c>
      <c r="I4" s="363" t="s">
        <v>53</v>
      </c>
    </row>
    <row r="5" spans="1:9" s="121" customFormat="1" ht="15">
      <c r="A5" s="20"/>
      <c r="C5" s="312" t="s">
        <v>24</v>
      </c>
      <c r="D5" s="120"/>
      <c r="E5" s="312" t="s">
        <v>24</v>
      </c>
      <c r="F5" s="120"/>
      <c r="G5" s="312" t="s">
        <v>24</v>
      </c>
      <c r="H5" s="120"/>
      <c r="I5" s="312" t="s">
        <v>24</v>
      </c>
    </row>
    <row r="6" spans="1:9">
      <c r="B6" s="299" t="s">
        <v>349</v>
      </c>
      <c r="C6" s="43">
        <v>0</v>
      </c>
      <c r="D6" s="43"/>
      <c r="E6" s="43">
        <f>5944+30</f>
        <v>5974</v>
      </c>
      <c r="F6" s="43"/>
      <c r="G6" s="43">
        <v>0</v>
      </c>
      <c r="H6" s="43"/>
      <c r="I6" s="43">
        <f t="shared" ref="I6:I8" si="0">SUM(C6:H6)</f>
        <v>5974</v>
      </c>
    </row>
    <row r="7" spans="1:9">
      <c r="B7" s="299" t="s">
        <v>350</v>
      </c>
      <c r="C7" s="43">
        <v>0</v>
      </c>
      <c r="D7" s="43"/>
      <c r="E7" s="43">
        <v>30944</v>
      </c>
      <c r="F7" s="43"/>
      <c r="G7" s="43">
        <v>0</v>
      </c>
      <c r="H7" s="43"/>
      <c r="I7" s="43">
        <f t="shared" si="0"/>
        <v>30944</v>
      </c>
    </row>
    <row r="8" spans="1:9">
      <c r="B8" s="299" t="s">
        <v>351</v>
      </c>
      <c r="C8" s="43">
        <v>0</v>
      </c>
      <c r="D8" s="43"/>
      <c r="E8" s="43">
        <v>0</v>
      </c>
      <c r="F8" s="43"/>
      <c r="G8" s="43">
        <v>6400</v>
      </c>
      <c r="H8" s="43"/>
      <c r="I8" s="43">
        <f t="shared" si="0"/>
        <v>6400</v>
      </c>
    </row>
    <row r="9" spans="1:9" s="14" customFormat="1" ht="15.75" thickBot="1">
      <c r="A9" s="29"/>
      <c r="B9" s="14" t="str">
        <f>"Total at " &amp; TEXT(This_year_ended, "dd mmmm yyyy")</f>
        <v>Total at 31 March 2013</v>
      </c>
      <c r="C9" s="57">
        <f>SUM(C6:C8)</f>
        <v>0</v>
      </c>
      <c r="D9" s="43"/>
      <c r="E9" s="57">
        <f>SUM(E6:E8)</f>
        <v>36918</v>
      </c>
      <c r="F9" s="43"/>
      <c r="G9" s="57">
        <f>SUM(G6:G8)</f>
        <v>6400</v>
      </c>
      <c r="H9" s="43"/>
      <c r="I9" s="57">
        <f>SUM(I6:I8)</f>
        <v>43318</v>
      </c>
    </row>
    <row r="10" spans="1:9" ht="15" thickTop="1">
      <c r="C10" s="122"/>
      <c r="D10" s="122"/>
      <c r="E10" s="122"/>
      <c r="F10" s="122"/>
      <c r="G10" s="122"/>
      <c r="H10" s="122"/>
      <c r="I10" s="122"/>
    </row>
    <row r="11" spans="1:9">
      <c r="B11" s="299" t="s">
        <v>349</v>
      </c>
      <c r="C11" s="44">
        <v>0</v>
      </c>
      <c r="D11" s="44"/>
      <c r="E11" s="44">
        <v>5942</v>
      </c>
      <c r="F11" s="44"/>
      <c r="G11" s="44">
        <v>0</v>
      </c>
      <c r="H11" s="44"/>
      <c r="I11" s="44">
        <f t="shared" ref="I11:I13" si="1">SUM(C11:H11)</f>
        <v>5942</v>
      </c>
    </row>
    <row r="12" spans="1:9">
      <c r="B12" s="299" t="s">
        <v>350</v>
      </c>
      <c r="C12" s="44">
        <v>0</v>
      </c>
      <c r="D12" s="44"/>
      <c r="E12" s="44">
        <v>22788</v>
      </c>
      <c r="F12" s="44"/>
      <c r="G12" s="44">
        <v>0</v>
      </c>
      <c r="H12" s="44"/>
      <c r="I12" s="44">
        <f t="shared" si="1"/>
        <v>22788</v>
      </c>
    </row>
    <row r="13" spans="1:9" s="14" customFormat="1" ht="15">
      <c r="A13" s="29"/>
      <c r="B13" s="299" t="s">
        <v>351</v>
      </c>
      <c r="C13" s="44">
        <v>0</v>
      </c>
      <c r="D13" s="44"/>
      <c r="E13" s="44">
        <v>0</v>
      </c>
      <c r="F13" s="44"/>
      <c r="G13" s="44">
        <v>6400</v>
      </c>
      <c r="H13" s="44"/>
      <c r="I13" s="44">
        <f t="shared" si="1"/>
        <v>6400</v>
      </c>
    </row>
    <row r="14" spans="1:9" ht="15.75" thickBot="1">
      <c r="B14" s="14" t="str">
        <f>"Total at " &amp; TEXT(Last_year_ended, "dd mmmm yyyy")</f>
        <v>Total at 31 March 2012</v>
      </c>
      <c r="C14" s="45">
        <f>SUM(C11:C13)</f>
        <v>0</v>
      </c>
      <c r="D14" s="44"/>
      <c r="E14" s="45">
        <f>SUM(E11:E13)</f>
        <v>28730</v>
      </c>
      <c r="F14" s="44"/>
      <c r="G14" s="45">
        <f>SUM(G11:G13)</f>
        <v>6400</v>
      </c>
      <c r="H14" s="44"/>
      <c r="I14" s="45">
        <f>SUM(I11:I13)</f>
        <v>35130</v>
      </c>
    </row>
    <row r="15" spans="1:9" ht="15" thickTop="1">
      <c r="C15" s="122"/>
      <c r="D15" s="122"/>
      <c r="E15" s="122"/>
      <c r="F15" s="122"/>
      <c r="G15" s="122"/>
      <c r="H15" s="122"/>
      <c r="I15" s="122"/>
    </row>
    <row r="16" spans="1:9" ht="36.75" customHeight="1">
      <c r="B16" s="664" t="s">
        <v>459</v>
      </c>
      <c r="C16" s="664"/>
      <c r="D16" s="664"/>
      <c r="E16" s="664"/>
      <c r="F16" s="664"/>
      <c r="G16" s="664"/>
      <c r="H16" s="664"/>
      <c r="I16" s="664"/>
    </row>
    <row r="18" spans="1:9" ht="15">
      <c r="A18" s="29">
        <v>39.200000000000003</v>
      </c>
      <c r="B18" s="14" t="s">
        <v>809</v>
      </c>
      <c r="C18" s="14"/>
      <c r="D18" s="14"/>
      <c r="E18" s="14"/>
      <c r="F18" s="14"/>
      <c r="G18" s="14"/>
      <c r="H18" s="14"/>
      <c r="I18" s="14"/>
    </row>
    <row r="19" spans="1:9" s="362" customFormat="1" ht="45">
      <c r="C19" s="363" t="s">
        <v>511</v>
      </c>
      <c r="D19" s="363"/>
      <c r="E19" s="363" t="s">
        <v>173</v>
      </c>
      <c r="F19" s="363"/>
      <c r="G19" s="363" t="s">
        <v>53</v>
      </c>
    </row>
    <row r="20" spans="1:9" ht="15">
      <c r="C20" s="312" t="s">
        <v>24</v>
      </c>
      <c r="D20" s="121"/>
      <c r="E20" s="589" t="s">
        <v>24</v>
      </c>
      <c r="F20" s="590"/>
      <c r="G20" s="589" t="s">
        <v>24</v>
      </c>
    </row>
    <row r="21" spans="1:9">
      <c r="B21" s="299" t="s">
        <v>352</v>
      </c>
      <c r="C21" s="240">
        <v>0</v>
      </c>
      <c r="D21" s="240"/>
      <c r="E21" s="317">
        <v>19671</v>
      </c>
      <c r="F21" s="591"/>
      <c r="G21" s="317">
        <f t="shared" ref="G21:G25" si="2">SUM(C21:F21)</f>
        <v>19671</v>
      </c>
    </row>
    <row r="22" spans="1:9" s="14" customFormat="1" ht="15">
      <c r="A22" s="20"/>
      <c r="B22" s="299" t="s">
        <v>353</v>
      </c>
      <c r="C22" s="240">
        <v>0</v>
      </c>
      <c r="D22" s="240"/>
      <c r="E22" s="317">
        <v>4759</v>
      </c>
      <c r="F22" s="591"/>
      <c r="G22" s="317">
        <f t="shared" si="2"/>
        <v>4759</v>
      </c>
      <c r="H22" s="13"/>
      <c r="I22" s="13"/>
    </row>
    <row r="23" spans="1:9" s="14" customFormat="1" ht="15">
      <c r="A23" s="20"/>
      <c r="B23" s="299" t="s">
        <v>354</v>
      </c>
      <c r="C23" s="240">
        <v>0</v>
      </c>
      <c r="D23" s="240"/>
      <c r="E23" s="317">
        <v>28149</v>
      </c>
      <c r="F23" s="591"/>
      <c r="G23" s="317">
        <f t="shared" si="2"/>
        <v>28149</v>
      </c>
      <c r="H23" s="13"/>
      <c r="I23" s="13"/>
    </row>
    <row r="24" spans="1:9">
      <c r="B24" s="299" t="s">
        <v>38</v>
      </c>
      <c r="C24" s="240">
        <v>0</v>
      </c>
      <c r="D24" s="240"/>
      <c r="E24" s="609">
        <v>0</v>
      </c>
      <c r="F24" s="591"/>
      <c r="G24" s="609">
        <f t="shared" si="2"/>
        <v>0</v>
      </c>
    </row>
    <row r="25" spans="1:9">
      <c r="B25" s="299" t="s">
        <v>37</v>
      </c>
      <c r="C25" s="240">
        <v>0</v>
      </c>
      <c r="D25" s="240"/>
      <c r="E25" s="317">
        <v>700</v>
      </c>
      <c r="F25" s="591"/>
      <c r="G25" s="317">
        <f t="shared" si="2"/>
        <v>700</v>
      </c>
    </row>
    <row r="26" spans="1:9" ht="15.75" thickBot="1">
      <c r="B26" s="14" t="str">
        <f>"Total at " &amp; TEXT(This_year_ended, "dd mmmm yyyy")</f>
        <v>Total at 31 March 2013</v>
      </c>
      <c r="C26" s="315">
        <f>SUM(C21:C25)</f>
        <v>0</v>
      </c>
      <c r="D26" s="240"/>
      <c r="E26" s="316">
        <f>SUM(E21:E25)</f>
        <v>53279</v>
      </c>
      <c r="F26" s="591"/>
      <c r="G26" s="316">
        <f>SUM(G21:G25)</f>
        <v>53279</v>
      </c>
    </row>
    <row r="27" spans="1:9" ht="10.5" customHeight="1" thickTop="1">
      <c r="A27" s="29"/>
      <c r="B27" s="14"/>
      <c r="C27" s="318"/>
      <c r="D27" s="240"/>
      <c r="E27" s="319"/>
      <c r="F27" s="317"/>
      <c r="G27" s="319"/>
      <c r="H27" s="14"/>
      <c r="I27" s="14"/>
    </row>
    <row r="28" spans="1:9" ht="15">
      <c r="A28" s="29"/>
      <c r="B28" s="299" t="s">
        <v>352</v>
      </c>
      <c r="C28" s="492">
        <v>0</v>
      </c>
      <c r="D28" s="492"/>
      <c r="E28" s="313">
        <v>16051</v>
      </c>
      <c r="F28" s="313"/>
      <c r="G28" s="313">
        <f t="shared" ref="G28:G32" si="3">SUM(C28:F28)</f>
        <v>16051</v>
      </c>
      <c r="H28" s="14"/>
      <c r="I28" s="14"/>
    </row>
    <row r="29" spans="1:9">
      <c r="B29" s="299" t="s">
        <v>353</v>
      </c>
      <c r="C29" s="492">
        <v>0</v>
      </c>
      <c r="D29" s="492"/>
      <c r="E29" s="313">
        <v>4829</v>
      </c>
      <c r="F29" s="313"/>
      <c r="G29" s="313">
        <f t="shared" si="3"/>
        <v>4829</v>
      </c>
    </row>
    <row r="30" spans="1:9" s="14" customFormat="1" ht="15">
      <c r="A30" s="20"/>
      <c r="B30" s="299" t="s">
        <v>354</v>
      </c>
      <c r="C30" s="492">
        <v>0</v>
      </c>
      <c r="D30" s="492"/>
      <c r="E30" s="313">
        <v>8883</v>
      </c>
      <c r="F30" s="313"/>
      <c r="G30" s="313">
        <f t="shared" si="3"/>
        <v>8883</v>
      </c>
      <c r="H30" s="13"/>
      <c r="I30" s="13"/>
    </row>
    <row r="31" spans="1:9">
      <c r="B31" s="299" t="s">
        <v>38</v>
      </c>
      <c r="C31" s="492">
        <v>0</v>
      </c>
      <c r="D31" s="492"/>
      <c r="E31" s="314">
        <v>0</v>
      </c>
      <c r="F31" s="313"/>
      <c r="G31" s="314">
        <f t="shared" si="3"/>
        <v>0</v>
      </c>
    </row>
    <row r="32" spans="1:9">
      <c r="B32" s="299" t="s">
        <v>37</v>
      </c>
      <c r="C32" s="492">
        <v>0</v>
      </c>
      <c r="D32" s="492"/>
      <c r="E32" s="313">
        <v>607</v>
      </c>
      <c r="F32" s="313"/>
      <c r="G32" s="313">
        <f t="shared" si="3"/>
        <v>607</v>
      </c>
    </row>
    <row r="33" spans="1:9" ht="15.75" thickBot="1">
      <c r="B33" s="14" t="str">
        <f>"Total at " &amp; TEXT(Last_year_ended, "dd mmmm yyyy")</f>
        <v>Total at 31 March 2012</v>
      </c>
      <c r="C33" s="568">
        <f>SUM(C28:C32)</f>
        <v>0</v>
      </c>
      <c r="D33" s="557"/>
      <c r="E33" s="569">
        <f>SUM(E28:E32)</f>
        <v>30370</v>
      </c>
      <c r="F33" s="313"/>
      <c r="G33" s="569">
        <f>SUM(G28:G32)</f>
        <v>30370</v>
      </c>
    </row>
    <row r="34" spans="1:9" ht="9" customHeight="1" thickTop="1">
      <c r="A34" s="29"/>
      <c r="C34" s="318"/>
      <c r="D34" s="240"/>
      <c r="E34" s="319"/>
      <c r="F34" s="317"/>
      <c r="G34" s="319"/>
    </row>
    <row r="35" spans="1:9" ht="11.25" customHeight="1"/>
    <row r="36" spans="1:9" ht="15">
      <c r="A36" s="29"/>
      <c r="B36" s="299" t="s">
        <v>355</v>
      </c>
    </row>
    <row r="37" spans="1:9" ht="15">
      <c r="H37" s="14"/>
      <c r="I37" s="14"/>
    </row>
    <row r="38" spans="1:9" ht="15">
      <c r="A38" s="29">
        <v>39.299999999999997</v>
      </c>
      <c r="B38" s="14" t="s">
        <v>808</v>
      </c>
      <c r="C38" s="14"/>
      <c r="D38" s="14"/>
      <c r="E38" s="14"/>
    </row>
    <row r="39" spans="1:9" ht="15">
      <c r="A39" s="510"/>
      <c r="B39" s="510"/>
      <c r="C39" s="48" t="s">
        <v>628</v>
      </c>
      <c r="D39" s="48"/>
      <c r="E39" s="588" t="s">
        <v>470</v>
      </c>
    </row>
    <row r="40" spans="1:9" ht="15">
      <c r="C40" s="589" t="s">
        <v>24</v>
      </c>
      <c r="D40" s="121"/>
      <c r="E40" s="608" t="s">
        <v>24</v>
      </c>
    </row>
    <row r="41" spans="1:9">
      <c r="B41" s="367" t="s">
        <v>691</v>
      </c>
      <c r="C41" s="591">
        <v>21803.193534486632</v>
      </c>
      <c r="D41" s="511"/>
      <c r="E41" s="313">
        <v>16762</v>
      </c>
    </row>
    <row r="42" spans="1:9" ht="25.5">
      <c r="B42" s="367" t="s">
        <v>692</v>
      </c>
      <c r="C42" s="605">
        <v>1431</v>
      </c>
      <c r="D42" s="593"/>
      <c r="E42" s="606">
        <v>515</v>
      </c>
    </row>
    <row r="43" spans="1:9" ht="25.5">
      <c r="B43" s="367" t="s">
        <v>693</v>
      </c>
      <c r="C43" s="605">
        <v>4593</v>
      </c>
      <c r="D43" s="593"/>
      <c r="E43" s="607">
        <v>1677</v>
      </c>
    </row>
    <row r="44" spans="1:9">
      <c r="B44" s="367" t="s">
        <v>694</v>
      </c>
      <c r="C44" s="591">
        <v>25451.968438985128</v>
      </c>
      <c r="D44" s="511"/>
      <c r="E44" s="313">
        <v>11416</v>
      </c>
    </row>
    <row r="45" spans="1:9" ht="15.75" thickBot="1">
      <c r="B45" s="14" t="s">
        <v>53</v>
      </c>
      <c r="C45" s="592">
        <f>SUM(C41:C44)</f>
        <v>53279.161973471761</v>
      </c>
      <c r="D45" s="240"/>
      <c r="E45" s="569">
        <f>SUM(E41:E44)</f>
        <v>30370</v>
      </c>
    </row>
    <row r="46" spans="1:9" ht="15" thickTop="1"/>
  </sheetData>
  <mergeCells count="1">
    <mergeCell ref="B16:I16"/>
  </mergeCells>
  <pageMargins left="0.7" right="0.7" top="0.73229166666666667" bottom="0.75" header="0.46510416666666665" footer="0.3"/>
  <pageSetup paperSize="9" scale="95" fitToHeight="3" orientation="portrait" verticalDpi="200" r:id="rId1"/>
  <headerFooter scaleWithDoc="0">
    <oddHeader>&amp;COxford Health NHS Foundation Trust - Annual Accounts 2012/13</oddHeader>
    <oddFooter>&amp;CPage 42</oddFooter>
    <evenHeader xml:space="preserve">&amp;COxford Health NHS Foundation Trust - Annual Accounts 2010/11 </evenHeader>
    <evenFooter>&amp;CPage 43</evenFooter>
    <firstHeader xml:space="preserve">&amp;COxford Health NHS Foundation Trust - Annual Accounts 2011/12 </firstHeader>
    <firstFooter>&amp;CPage 41</firstFooter>
  </headerFooter>
</worksheet>
</file>

<file path=xl/worksheets/sheet35.xml><?xml version="1.0" encoding="utf-8"?>
<worksheet xmlns="http://schemas.openxmlformats.org/spreadsheetml/2006/main" xmlns:r="http://schemas.openxmlformats.org/officeDocument/2006/relationships">
  <dimension ref="A1:I22"/>
  <sheetViews>
    <sheetView showWhiteSpace="0" view="pageLayout" topLeftCell="A2" zoomScale="80" zoomScalePageLayoutView="80" workbookViewId="0">
      <selection activeCell="B46" sqref="B46"/>
    </sheetView>
  </sheetViews>
  <sheetFormatPr defaultRowHeight="14.25"/>
  <cols>
    <col min="1" max="1" width="6.42578125" style="20" customWidth="1"/>
    <col min="2" max="2" width="28.85546875" style="13" customWidth="1"/>
    <col min="3" max="3" width="14" style="13" customWidth="1"/>
    <col min="4" max="4" width="1.7109375" style="13" customWidth="1"/>
    <col min="5" max="5" width="11.140625" style="13" customWidth="1"/>
    <col min="6" max="6" width="1.7109375" style="13" customWidth="1"/>
    <col min="7" max="7" width="12.28515625" style="13" customWidth="1"/>
    <col min="8" max="8" width="1.7109375" style="13" customWidth="1"/>
    <col min="9" max="16384" width="9.140625" style="13"/>
  </cols>
  <sheetData>
    <row r="1" spans="1:9">
      <c r="A1" s="58"/>
      <c r="B1" s="19"/>
      <c r="C1" s="19"/>
      <c r="D1" s="19"/>
      <c r="E1" s="19"/>
      <c r="F1" s="19"/>
      <c r="G1" s="19"/>
      <c r="H1" s="19"/>
      <c r="I1" s="19"/>
    </row>
    <row r="2" spans="1:9" ht="15">
      <c r="A2" s="29">
        <v>39.4</v>
      </c>
      <c r="B2" s="14" t="s">
        <v>835</v>
      </c>
    </row>
    <row r="4" spans="1:9" ht="90" customHeight="1">
      <c r="B4" s="684" t="s">
        <v>681</v>
      </c>
      <c r="C4" s="684"/>
      <c r="D4" s="684"/>
      <c r="E4" s="684"/>
      <c r="F4" s="684"/>
      <c r="G4" s="684"/>
      <c r="H4" s="684"/>
      <c r="I4" s="684"/>
    </row>
    <row r="5" spans="1:9">
      <c r="B5" s="299"/>
      <c r="C5" s="299"/>
      <c r="D5" s="299"/>
      <c r="E5" s="299"/>
      <c r="F5" s="299"/>
      <c r="G5" s="299"/>
      <c r="H5" s="299"/>
      <c r="I5" s="299"/>
    </row>
    <row r="6" spans="1:9" ht="39.75" customHeight="1">
      <c r="B6" s="684" t="s">
        <v>425</v>
      </c>
      <c r="C6" s="684"/>
      <c r="D6" s="684"/>
      <c r="E6" s="684"/>
      <c r="F6" s="684"/>
      <c r="G6" s="684"/>
      <c r="H6" s="684"/>
      <c r="I6" s="684"/>
    </row>
    <row r="7" spans="1:9">
      <c r="B7" s="299"/>
      <c r="C7" s="299"/>
      <c r="D7" s="299"/>
      <c r="E7" s="299"/>
      <c r="F7" s="299"/>
      <c r="G7" s="299"/>
      <c r="H7" s="299"/>
      <c r="I7" s="299"/>
    </row>
    <row r="8" spans="1:9" ht="15">
      <c r="B8" s="320" t="s">
        <v>420</v>
      </c>
      <c r="C8" s="299"/>
      <c r="D8" s="299"/>
      <c r="E8" s="299"/>
      <c r="F8" s="299"/>
      <c r="G8" s="299"/>
      <c r="H8" s="299"/>
      <c r="I8" s="299"/>
    </row>
    <row r="9" spans="1:9" ht="41.25" customHeight="1">
      <c r="B9" s="684" t="s">
        <v>426</v>
      </c>
      <c r="C9" s="684"/>
      <c r="D9" s="684"/>
      <c r="E9" s="684"/>
      <c r="F9" s="684"/>
      <c r="G9" s="684"/>
      <c r="H9" s="684"/>
      <c r="I9" s="684"/>
    </row>
    <row r="10" spans="1:9">
      <c r="B10" s="299"/>
      <c r="C10" s="299"/>
      <c r="D10" s="299"/>
      <c r="E10" s="299"/>
      <c r="F10" s="299"/>
      <c r="G10" s="299"/>
      <c r="H10" s="299"/>
      <c r="I10" s="299"/>
    </row>
    <row r="11" spans="1:9" ht="15">
      <c r="B11" s="321" t="s">
        <v>421</v>
      </c>
      <c r="C11" s="299"/>
      <c r="D11" s="299"/>
      <c r="E11" s="299"/>
      <c r="F11" s="299"/>
      <c r="G11" s="299"/>
      <c r="H11" s="299"/>
      <c r="I11" s="299"/>
    </row>
    <row r="12" spans="1:9" ht="51.75" customHeight="1">
      <c r="B12" s="684" t="s">
        <v>427</v>
      </c>
      <c r="C12" s="684"/>
      <c r="D12" s="684"/>
      <c r="E12" s="684"/>
      <c r="F12" s="684"/>
      <c r="G12" s="684"/>
      <c r="H12" s="684"/>
      <c r="I12" s="684"/>
    </row>
    <row r="13" spans="1:9">
      <c r="B13" s="299"/>
      <c r="C13" s="299"/>
      <c r="D13" s="299"/>
      <c r="E13" s="299"/>
      <c r="F13" s="299"/>
      <c r="G13" s="299"/>
      <c r="H13" s="299"/>
      <c r="I13" s="299"/>
    </row>
    <row r="14" spans="1:9" ht="15">
      <c r="B14" s="14" t="s">
        <v>422</v>
      </c>
      <c r="C14" s="299"/>
      <c r="D14" s="299"/>
      <c r="E14" s="299"/>
      <c r="F14" s="299"/>
      <c r="G14" s="299"/>
      <c r="H14" s="299"/>
      <c r="I14" s="299"/>
    </row>
    <row r="15" spans="1:9" ht="28.5" customHeight="1">
      <c r="B15" s="672" t="s">
        <v>423</v>
      </c>
      <c r="C15" s="672"/>
      <c r="D15" s="672"/>
      <c r="E15" s="672"/>
      <c r="F15" s="672"/>
      <c r="G15" s="672"/>
      <c r="H15" s="672"/>
      <c r="I15" s="672"/>
    </row>
    <row r="16" spans="1:9">
      <c r="B16" s="299"/>
      <c r="C16" s="299"/>
      <c r="D16" s="299"/>
      <c r="E16" s="299"/>
      <c r="F16" s="299"/>
      <c r="G16" s="299"/>
      <c r="H16" s="299"/>
      <c r="I16" s="299"/>
    </row>
    <row r="17" spans="2:9" ht="15">
      <c r="B17" s="14" t="s">
        <v>424</v>
      </c>
      <c r="C17" s="299"/>
      <c r="D17" s="299"/>
      <c r="E17" s="299"/>
      <c r="F17" s="299"/>
      <c r="G17" s="299"/>
      <c r="H17" s="299"/>
      <c r="I17" s="299"/>
    </row>
    <row r="18" spans="2:9" ht="52.5" customHeight="1">
      <c r="B18" s="684" t="s">
        <v>618</v>
      </c>
      <c r="C18" s="684"/>
      <c r="D18" s="684"/>
      <c r="E18" s="684"/>
      <c r="F18" s="684"/>
      <c r="G18" s="684"/>
      <c r="H18" s="684"/>
      <c r="I18" s="684"/>
    </row>
    <row r="19" spans="2:9">
      <c r="B19" s="299"/>
      <c r="C19" s="299"/>
      <c r="D19" s="299"/>
      <c r="E19" s="299"/>
      <c r="F19" s="299"/>
      <c r="G19" s="299"/>
      <c r="H19" s="299"/>
      <c r="I19" s="299"/>
    </row>
    <row r="20" spans="2:9" ht="48" customHeight="1">
      <c r="B20" s="686" t="s">
        <v>686</v>
      </c>
      <c r="C20" s="686"/>
      <c r="D20" s="686"/>
      <c r="E20" s="686"/>
      <c r="F20" s="686"/>
      <c r="G20" s="686"/>
      <c r="H20" s="686"/>
      <c r="I20" s="686"/>
    </row>
    <row r="21" spans="2:9">
      <c r="B21" s="299"/>
      <c r="C21" s="299"/>
      <c r="D21" s="299"/>
      <c r="E21" s="299"/>
      <c r="F21" s="299"/>
      <c r="G21" s="299"/>
      <c r="H21" s="299"/>
      <c r="I21" s="299"/>
    </row>
    <row r="22" spans="2:9">
      <c r="B22" s="299"/>
      <c r="C22" s="299"/>
      <c r="D22" s="299"/>
      <c r="E22" s="299"/>
      <c r="F22" s="299"/>
      <c r="G22" s="299"/>
      <c r="H22" s="299"/>
      <c r="I22" s="299"/>
    </row>
  </sheetData>
  <mergeCells count="7">
    <mergeCell ref="B18:I18"/>
    <mergeCell ref="B20:I20"/>
    <mergeCell ref="B4:I4"/>
    <mergeCell ref="B6:I6"/>
    <mergeCell ref="B9:I9"/>
    <mergeCell ref="B12:I12"/>
    <mergeCell ref="B15:I15"/>
  </mergeCells>
  <pageMargins left="0.70866141732283472" right="0.70866141732283472" top="0.64583333333333337" bottom="0.74803149606299213" header="0.35433070866141736" footer="0.31496062992125984"/>
  <pageSetup paperSize="9" fitToHeight="3" orientation="portrait" verticalDpi="200" r:id="rId1"/>
  <headerFooter scaleWithDoc="0">
    <oddHeader>&amp;COxford Health NHS Foundation Trust - Annual Accounts 2012/13</oddHeader>
    <oddFooter>&amp;CPage 43</oddFooter>
    <evenHeader xml:space="preserve">&amp;COxford Health NHS Foundation Trust - Annual Accounts 2010/11 </evenHeader>
    <evenFooter>&amp;CPage 43</evenFooter>
    <firstHeader>&amp;COxford Health NHS Foundation Trust - Annual Accounts 2011/12</firstHeader>
    <firstFooter>&amp;CPage 42</firstFooter>
  </headerFooter>
</worksheet>
</file>

<file path=xl/worksheets/sheet36.xml><?xml version="1.0" encoding="utf-8"?>
<worksheet xmlns="http://schemas.openxmlformats.org/spreadsheetml/2006/main" xmlns:r="http://schemas.openxmlformats.org/officeDocument/2006/relationships">
  <sheetPr codeName="Sheet33"/>
  <dimension ref="A1:I33"/>
  <sheetViews>
    <sheetView view="pageLayout" topLeftCell="A10" zoomScale="80" zoomScalePageLayoutView="80" workbookViewId="0">
      <selection activeCell="B12" sqref="B12"/>
    </sheetView>
  </sheetViews>
  <sheetFormatPr defaultRowHeight="14.25"/>
  <cols>
    <col min="1" max="1" width="4.28515625" style="20" customWidth="1"/>
    <col min="2" max="2" width="43" style="13" customWidth="1"/>
    <col min="3" max="3" width="14.140625" style="13" customWidth="1"/>
    <col min="4" max="4" width="2.28515625" style="13" customWidth="1"/>
    <col min="5" max="5" width="14.28515625" style="13" customWidth="1"/>
    <col min="6" max="6" width="2.28515625" style="13" customWidth="1"/>
    <col min="7" max="7" width="11.28515625" style="13" customWidth="1"/>
    <col min="8" max="8" width="2.28515625" style="13" customWidth="1"/>
    <col min="9" max="9" width="11.7109375" style="13" customWidth="1"/>
    <col min="10" max="16384" width="9.140625" style="13"/>
  </cols>
  <sheetData>
    <row r="1" spans="1:9">
      <c r="A1" s="58"/>
      <c r="B1" s="19"/>
      <c r="C1" s="19"/>
      <c r="D1" s="19"/>
      <c r="E1" s="19"/>
      <c r="F1" s="19"/>
      <c r="G1" s="19"/>
      <c r="H1" s="19"/>
      <c r="I1" s="19"/>
    </row>
    <row r="2" spans="1:9" s="14" customFormat="1" ht="15">
      <c r="A2" s="29">
        <v>40</v>
      </c>
      <c r="B2" s="14" t="s">
        <v>837</v>
      </c>
    </row>
    <row r="4" spans="1:9" ht="39.75" customHeight="1">
      <c r="B4" s="680" t="str">
        <f>"The Trust held £355k cash at bank and in hand at "&amp;TEXT(This_year_ended,"dd mmmm yyyy")&amp;" (£310k at "&amp;TEXT(Last_year_ended,"dd mmmm yyyy")&amp;") which relates to monies held by the NHS Foundation Trust on behalf of patients.  This has been excluded from cash at bank and in hand figure reported in the accounts."</f>
        <v>The Trust held £355k cash at bank and in hand at 31 March 2013 (£310k at 31 March 2012) which relates to monies held by the NHS Foundation Trust on behalf of patients.  This has been excluded from cash at bank and in hand figure reported in the accounts.</v>
      </c>
      <c r="C4" s="680"/>
      <c r="D4" s="680"/>
      <c r="E4" s="680"/>
      <c r="F4" s="680"/>
      <c r="G4" s="680"/>
      <c r="H4" s="680"/>
      <c r="I4" s="680"/>
    </row>
    <row r="6" spans="1:9" s="174" customFormat="1" ht="15.75">
      <c r="A6" s="29">
        <v>41</v>
      </c>
      <c r="B6" s="14" t="s">
        <v>836</v>
      </c>
    </row>
    <row r="7" spans="1:9" s="281" customFormat="1" ht="93" customHeight="1">
      <c r="A7" s="322"/>
      <c r="C7" s="281" t="s">
        <v>356</v>
      </c>
      <c r="E7" s="281" t="s">
        <v>357</v>
      </c>
      <c r="G7" s="281" t="s">
        <v>358</v>
      </c>
      <c r="I7" s="281" t="s">
        <v>359</v>
      </c>
    </row>
    <row r="8" spans="1:9" s="14" customFormat="1" ht="15">
      <c r="A8" s="29"/>
      <c r="C8" s="323" t="s">
        <v>24</v>
      </c>
      <c r="E8" s="323" t="s">
        <v>24</v>
      </c>
      <c r="G8" s="323" t="s">
        <v>24</v>
      </c>
      <c r="I8" s="323" t="s">
        <v>24</v>
      </c>
    </row>
    <row r="9" spans="1:9">
      <c r="B9" s="299" t="s">
        <v>360</v>
      </c>
      <c r="C9" s="44">
        <v>576</v>
      </c>
      <c r="D9" s="44"/>
      <c r="E9" s="44">
        <v>0</v>
      </c>
      <c r="F9" s="44"/>
      <c r="G9" s="44">
        <v>6824</v>
      </c>
      <c r="H9" s="44"/>
      <c r="I9" s="44">
        <v>0</v>
      </c>
    </row>
    <row r="10" spans="1:9">
      <c r="B10" s="299" t="s">
        <v>361</v>
      </c>
      <c r="C10" s="44">
        <v>330</v>
      </c>
      <c r="D10" s="44"/>
      <c r="E10" s="44">
        <v>0</v>
      </c>
      <c r="F10" s="44"/>
      <c r="G10" s="44">
        <v>1031</v>
      </c>
      <c r="H10" s="44"/>
      <c r="I10" s="44">
        <v>0</v>
      </c>
    </row>
    <row r="11" spans="1:9">
      <c r="B11" s="299" t="s">
        <v>882</v>
      </c>
      <c r="C11" s="44">
        <v>4396</v>
      </c>
      <c r="D11" s="44"/>
      <c r="E11" s="44">
        <v>0</v>
      </c>
      <c r="F11" s="44"/>
      <c r="G11" s="44">
        <v>5406</v>
      </c>
      <c r="H11" s="44"/>
      <c r="I11" s="44">
        <v>0</v>
      </c>
    </row>
    <row r="12" spans="1:9">
      <c r="B12" s="299" t="s">
        <v>362</v>
      </c>
      <c r="C12" s="44">
        <v>0</v>
      </c>
      <c r="D12" s="44"/>
      <c r="E12" s="44">
        <v>0</v>
      </c>
      <c r="F12" s="44"/>
      <c r="G12" s="44">
        <v>0</v>
      </c>
      <c r="H12" s="44"/>
      <c r="I12" s="44">
        <v>0</v>
      </c>
    </row>
    <row r="13" spans="1:9">
      <c r="B13" s="299" t="s">
        <v>363</v>
      </c>
      <c r="C13" s="44">
        <v>2489</v>
      </c>
      <c r="D13" s="44"/>
      <c r="E13" s="44">
        <v>30</v>
      </c>
      <c r="F13" s="44"/>
      <c r="G13" s="44">
        <v>14935</v>
      </c>
      <c r="H13" s="44"/>
      <c r="I13" s="44">
        <v>0</v>
      </c>
    </row>
    <row r="14" spans="1:9" s="14" customFormat="1" ht="15.75" thickBot="1">
      <c r="A14" s="29"/>
      <c r="B14" s="14" t="str">
        <f>"Total at "&amp; TEXT(This_year_ended, "dd mmmm yyyy")</f>
        <v>Total at 31 March 2013</v>
      </c>
      <c r="C14" s="57">
        <f>SUM(C9:C13)</f>
        <v>7791</v>
      </c>
      <c r="D14" s="43"/>
      <c r="E14" s="57">
        <f>SUM(E9:E13)</f>
        <v>30</v>
      </c>
      <c r="F14" s="43"/>
      <c r="G14" s="57">
        <f>SUM(G9:G13)</f>
        <v>28196</v>
      </c>
      <c r="H14" s="43"/>
      <c r="I14" s="57">
        <f>SUM(I9:I13)</f>
        <v>0</v>
      </c>
    </row>
    <row r="15" spans="1:9" s="14" customFormat="1" ht="15.75" thickTop="1">
      <c r="A15" s="29"/>
      <c r="C15" s="291"/>
      <c r="D15" s="43"/>
      <c r="E15" s="291"/>
      <c r="F15" s="43"/>
      <c r="G15" s="291"/>
      <c r="H15" s="43"/>
      <c r="I15" s="291"/>
    </row>
    <row r="16" spans="1:9">
      <c r="B16" s="299" t="s">
        <v>360</v>
      </c>
      <c r="C16" s="44">
        <v>514</v>
      </c>
      <c r="D16" s="44"/>
      <c r="E16" s="44">
        <v>0</v>
      </c>
      <c r="F16" s="44"/>
      <c r="G16" s="44">
        <v>6423</v>
      </c>
      <c r="H16" s="44"/>
      <c r="I16" s="44">
        <v>0</v>
      </c>
    </row>
    <row r="17" spans="1:9">
      <c r="B17" s="299" t="s">
        <v>361</v>
      </c>
      <c r="C17" s="44">
        <v>465</v>
      </c>
      <c r="D17" s="44"/>
      <c r="E17" s="44">
        <v>0</v>
      </c>
      <c r="F17" s="44"/>
      <c r="G17" s="44">
        <v>521</v>
      </c>
      <c r="H17" s="44"/>
      <c r="I17" s="44">
        <v>0</v>
      </c>
    </row>
    <row r="18" spans="1:9">
      <c r="B18" s="299" t="s">
        <v>881</v>
      </c>
      <c r="C18" s="44">
        <v>3986</v>
      </c>
      <c r="D18" s="44"/>
      <c r="E18" s="44">
        <v>0</v>
      </c>
      <c r="F18" s="44"/>
      <c r="G18" s="44">
        <v>4832</v>
      </c>
      <c r="H18" s="44"/>
      <c r="I18" s="44">
        <v>0</v>
      </c>
    </row>
    <row r="19" spans="1:9">
      <c r="B19" s="299" t="s">
        <v>362</v>
      </c>
      <c r="C19" s="44">
        <v>0</v>
      </c>
      <c r="D19" s="44"/>
      <c r="E19" s="44">
        <v>0</v>
      </c>
      <c r="F19" s="44"/>
      <c r="G19" s="44">
        <v>0</v>
      </c>
      <c r="H19" s="44"/>
      <c r="I19" s="44">
        <v>0</v>
      </c>
    </row>
    <row r="20" spans="1:9">
      <c r="B20" s="299" t="s">
        <v>363</v>
      </c>
      <c r="C20" s="44">
        <v>2859</v>
      </c>
      <c r="D20" s="44"/>
      <c r="E20" s="44">
        <v>30</v>
      </c>
      <c r="F20" s="44"/>
      <c r="G20" s="44">
        <v>14744</v>
      </c>
      <c r="H20" s="44"/>
      <c r="I20" s="44">
        <v>0</v>
      </c>
    </row>
    <row r="21" spans="1:9" s="14" customFormat="1" ht="15.75" thickBot="1">
      <c r="A21" s="29"/>
      <c r="B21" s="14" t="str">
        <f>"Total at "&amp; TEXT(Last_year_ended, "dd mmmm yyyy")</f>
        <v>Total at 31 March 2012</v>
      </c>
      <c r="C21" s="57">
        <f>SUM(C16:C20)</f>
        <v>7824</v>
      </c>
      <c r="D21" s="43"/>
      <c r="E21" s="57">
        <f>SUM(E16:E20)</f>
        <v>30</v>
      </c>
      <c r="F21" s="43"/>
      <c r="G21" s="57">
        <f>SUM(G16:G20)</f>
        <v>26520</v>
      </c>
      <c r="H21" s="43"/>
      <c r="I21" s="57">
        <f>SUM(I16:I20)</f>
        <v>0</v>
      </c>
    </row>
    <row r="22" spans="1:9" ht="15" thickTop="1">
      <c r="C22" s="291"/>
      <c r="D22" s="43"/>
      <c r="E22" s="291"/>
      <c r="F22" s="43"/>
      <c r="G22" s="291"/>
      <c r="H22" s="43"/>
      <c r="I22" s="291"/>
    </row>
    <row r="25" spans="1:9" ht="15.75">
      <c r="A25" s="29">
        <v>42</v>
      </c>
      <c r="B25" s="14" t="s">
        <v>416</v>
      </c>
      <c r="C25" s="174"/>
      <c r="D25" s="174"/>
      <c r="E25" s="174"/>
      <c r="F25" s="174"/>
      <c r="G25" s="174"/>
      <c r="H25" s="174"/>
      <c r="I25" s="174"/>
    </row>
    <row r="27" spans="1:9" ht="33.75" customHeight="1">
      <c r="B27" s="687" t="str">
        <f>"There were 43 cases of losses and special payments totalling £295k paid during " &amp; This_year &amp; " (" &amp; Last_year &amp; ": 22 payments totalling £52k)."</f>
        <v>There were 43 cases of losses and special payments totalling £295k paid during 2012/13 (2011/12: 22 payments totalling £52k).</v>
      </c>
      <c r="C27" s="687"/>
      <c r="D27" s="687"/>
      <c r="E27" s="687"/>
      <c r="F27" s="687"/>
      <c r="G27" s="687"/>
      <c r="H27" s="687"/>
      <c r="I27" s="687"/>
    </row>
    <row r="29" spans="1:9">
      <c r="B29" s="688" t="s">
        <v>512</v>
      </c>
      <c r="C29" s="688"/>
      <c r="D29" s="688"/>
      <c r="E29" s="688"/>
      <c r="F29" s="688"/>
      <c r="G29" s="688"/>
      <c r="H29" s="688"/>
      <c r="I29" s="688"/>
    </row>
    <row r="31" spans="1:9" ht="27.75" customHeight="1">
      <c r="B31" s="687" t="s">
        <v>833</v>
      </c>
      <c r="C31" s="687"/>
      <c r="D31" s="687"/>
      <c r="E31" s="687"/>
      <c r="F31" s="687"/>
      <c r="G31" s="687"/>
      <c r="H31" s="687"/>
      <c r="I31" s="687"/>
    </row>
    <row r="32" spans="1:9">
      <c r="B32" s="687"/>
      <c r="C32" s="687"/>
      <c r="D32" s="687"/>
      <c r="E32" s="687"/>
      <c r="F32" s="687"/>
      <c r="G32" s="687"/>
      <c r="H32" s="687"/>
      <c r="I32" s="687"/>
    </row>
    <row r="33" spans="2:9">
      <c r="B33" s="687" t="s">
        <v>821</v>
      </c>
      <c r="C33" s="687"/>
      <c r="D33" s="687"/>
      <c r="E33" s="687"/>
      <c r="F33" s="687"/>
      <c r="G33" s="687"/>
      <c r="H33" s="687"/>
      <c r="I33" s="687"/>
    </row>
  </sheetData>
  <mergeCells count="6">
    <mergeCell ref="B33:I33"/>
    <mergeCell ref="B32:I32"/>
    <mergeCell ref="B4:I4"/>
    <mergeCell ref="B27:I27"/>
    <mergeCell ref="B29:I29"/>
    <mergeCell ref="B31:I31"/>
  </mergeCells>
  <pageMargins left="0.70866141732283472" right="0.70866141732283472" top="0.51181102362204722" bottom="0.74803149606299213" header="0.31496062992125984" footer="0.31496062992125984"/>
  <pageSetup paperSize="9" scale="82" orientation="portrait" verticalDpi="200" r:id="rId1"/>
  <headerFooter scaleWithDoc="0">
    <oddHeader>&amp;COxford Health NHS Foundation Trust - Annual Accounts 2012/13</oddHeader>
    <oddFooter>&amp;CPage 44</oddFooter>
  </headerFooter>
</worksheet>
</file>

<file path=xl/worksheets/sheet37.xml><?xml version="1.0" encoding="utf-8"?>
<worksheet xmlns="http://schemas.openxmlformats.org/spreadsheetml/2006/main" xmlns:r="http://schemas.openxmlformats.org/officeDocument/2006/relationships">
  <sheetPr>
    <pageSetUpPr fitToPage="1"/>
  </sheetPr>
  <dimension ref="A1:G112"/>
  <sheetViews>
    <sheetView view="pageLayout" topLeftCell="A84" zoomScale="90" zoomScaleNormal="100" zoomScalePageLayoutView="90" workbookViewId="0">
      <selection activeCell="B46" sqref="B46"/>
    </sheetView>
  </sheetViews>
  <sheetFormatPr defaultRowHeight="15"/>
  <cols>
    <col min="1" max="1" width="5.42578125" customWidth="1"/>
    <col min="2" max="2" width="47.85546875" customWidth="1"/>
    <col min="3" max="3" width="16" customWidth="1"/>
    <col min="4" max="4" width="6.140625" customWidth="1"/>
    <col min="5" max="5" width="15.28515625" customWidth="1"/>
    <col min="6" max="6" width="7.85546875" customWidth="1"/>
  </cols>
  <sheetData>
    <row r="1" spans="1:6" s="10" customFormat="1" ht="29.25" customHeight="1">
      <c r="A1" s="405">
        <v>43</v>
      </c>
      <c r="B1" s="690" t="s">
        <v>428</v>
      </c>
      <c r="C1" s="690"/>
      <c r="D1" s="690"/>
      <c r="E1" s="690"/>
      <c r="F1" s="406"/>
    </row>
    <row r="2" spans="1:6">
      <c r="A2" s="49"/>
      <c r="B2" s="387" t="s">
        <v>401</v>
      </c>
      <c r="C2" s="49"/>
      <c r="D2" s="380"/>
      <c r="E2" s="380"/>
      <c r="F2" s="380"/>
    </row>
    <row r="3" spans="1:6" ht="39" customHeight="1">
      <c r="A3" s="407"/>
      <c r="B3" s="680" t="s">
        <v>685</v>
      </c>
      <c r="C3" s="680"/>
      <c r="D3" s="680"/>
      <c r="E3" s="680"/>
      <c r="F3" s="680"/>
    </row>
    <row r="4" spans="1:6" ht="21" customHeight="1">
      <c r="A4" s="407"/>
      <c r="B4" s="684" t="s">
        <v>533</v>
      </c>
      <c r="C4" s="684"/>
      <c r="D4" s="684"/>
      <c r="E4" s="684"/>
      <c r="F4" s="684"/>
    </row>
    <row r="5" spans="1:6" ht="33" customHeight="1">
      <c r="A5" s="407"/>
      <c r="B5" s="684" t="s">
        <v>534</v>
      </c>
      <c r="C5" s="684"/>
      <c r="D5" s="684"/>
      <c r="E5" s="684"/>
      <c r="F5" s="684"/>
    </row>
    <row r="6" spans="1:6" ht="34.5" customHeight="1">
      <c r="A6" s="407"/>
      <c r="B6" s="680" t="s">
        <v>687</v>
      </c>
      <c r="C6" s="680"/>
      <c r="D6" s="680"/>
      <c r="E6" s="680"/>
      <c r="F6" s="680"/>
    </row>
    <row r="7" spans="1:6" ht="36.75" customHeight="1">
      <c r="A7" s="407"/>
      <c r="B7" s="684" t="s">
        <v>535</v>
      </c>
      <c r="C7" s="684"/>
      <c r="D7" s="684"/>
      <c r="E7" s="684"/>
      <c r="F7" s="684"/>
    </row>
    <row r="8" spans="1:6" ht="9.75" customHeight="1">
      <c r="A8" s="407"/>
      <c r="B8" s="486"/>
      <c r="C8" s="486"/>
      <c r="D8" s="486"/>
      <c r="E8" s="486"/>
      <c r="F8" s="486"/>
    </row>
    <row r="9" spans="1:6" ht="77.25" customHeight="1">
      <c r="A9" s="407"/>
      <c r="B9" s="684" t="s">
        <v>536</v>
      </c>
      <c r="C9" s="684"/>
      <c r="D9" s="684"/>
      <c r="E9" s="684"/>
      <c r="F9" s="684"/>
    </row>
    <row r="10" spans="1:6">
      <c r="A10" s="408"/>
      <c r="B10" s="409"/>
      <c r="C10" s="409"/>
      <c r="D10" s="409"/>
      <c r="E10" s="410"/>
      <c r="F10" s="409"/>
    </row>
    <row r="11" spans="1:6">
      <c r="A11" s="407">
        <v>43.1</v>
      </c>
      <c r="B11" s="410" t="s">
        <v>540</v>
      </c>
      <c r="C11" s="410"/>
      <c r="D11" s="410"/>
      <c r="E11" s="410"/>
      <c r="F11" s="410"/>
    </row>
    <row r="12" spans="1:6">
      <c r="A12" s="408"/>
      <c r="B12" s="410" t="s">
        <v>541</v>
      </c>
      <c r="C12" s="410"/>
      <c r="D12" s="410"/>
      <c r="E12" s="410"/>
      <c r="F12" s="410"/>
    </row>
    <row r="13" spans="1:6" s="404" customFormat="1" ht="12.75">
      <c r="A13" s="411"/>
      <c r="B13" s="412"/>
      <c r="C13" s="403">
        <f>This_year_ended</f>
        <v>41364</v>
      </c>
      <c r="D13" s="413"/>
      <c r="E13" s="414" t="s">
        <v>557</v>
      </c>
      <c r="F13" s="415"/>
    </row>
    <row r="14" spans="1:6" s="404" customFormat="1" ht="12.75">
      <c r="A14" s="416"/>
      <c r="B14" s="417" t="s">
        <v>542</v>
      </c>
      <c r="C14" s="418">
        <v>3.4000000000000002E-2</v>
      </c>
      <c r="D14" s="391"/>
      <c r="E14" s="418">
        <v>3.2000000000000001E-2</v>
      </c>
      <c r="F14" s="415"/>
    </row>
    <row r="15" spans="1:6" s="404" customFormat="1" ht="12.75">
      <c r="A15" s="416"/>
      <c r="B15" s="417" t="s">
        <v>543</v>
      </c>
      <c r="C15" s="418">
        <v>2.5999999999999999E-2</v>
      </c>
      <c r="D15" s="391"/>
      <c r="E15" s="418">
        <v>2.4E-2</v>
      </c>
      <c r="F15" s="415"/>
    </row>
    <row r="16" spans="1:6" s="404" customFormat="1" ht="12.75">
      <c r="A16" s="416"/>
      <c r="B16" s="419" t="s">
        <v>544</v>
      </c>
      <c r="C16" s="418">
        <v>4.8000000000000001E-2</v>
      </c>
      <c r="D16" s="391"/>
      <c r="E16" s="418">
        <v>4.5999999999999999E-2</v>
      </c>
      <c r="F16" s="415"/>
    </row>
    <row r="17" spans="1:6" s="404" customFormat="1" ht="12.75">
      <c r="A17" s="416"/>
      <c r="B17" s="419" t="s">
        <v>545</v>
      </c>
      <c r="C17" s="418">
        <v>2.5999999999999999E-2</v>
      </c>
      <c r="D17" s="420"/>
      <c r="E17" s="418">
        <v>2.4E-2</v>
      </c>
      <c r="F17" s="415"/>
    </row>
    <row r="18" spans="1:6" s="404" customFormat="1" ht="12.75">
      <c r="A18" s="416"/>
      <c r="B18" s="419" t="s">
        <v>546</v>
      </c>
      <c r="C18" s="418">
        <v>4.7E-2</v>
      </c>
      <c r="D18" s="420"/>
      <c r="E18" s="418">
        <v>4.7E-2</v>
      </c>
      <c r="F18" s="415"/>
    </row>
    <row r="19" spans="1:6" s="404" customFormat="1" ht="12.75">
      <c r="A19" s="416"/>
      <c r="B19" s="419" t="s">
        <v>547</v>
      </c>
      <c r="C19" s="418">
        <v>5.8999999999999997E-2</v>
      </c>
      <c r="D19" s="420"/>
      <c r="E19" s="418">
        <v>0.06</v>
      </c>
      <c r="F19" s="415"/>
    </row>
    <row r="20" spans="1:6">
      <c r="A20" s="421"/>
      <c r="B20" s="409"/>
      <c r="C20" s="409"/>
      <c r="D20" s="409"/>
      <c r="E20" s="410"/>
      <c r="F20" s="409"/>
    </row>
    <row r="21" spans="1:6">
      <c r="A21" s="422">
        <v>43.2</v>
      </c>
      <c r="B21" s="423" t="s">
        <v>655</v>
      </c>
      <c r="C21" s="409"/>
      <c r="D21" s="409"/>
      <c r="E21" s="410"/>
      <c r="F21" s="409"/>
    </row>
    <row r="22" spans="1:6">
      <c r="A22" s="421"/>
      <c r="B22" s="424"/>
      <c r="C22" s="59">
        <f>This_year_ended</f>
        <v>41364</v>
      </c>
      <c r="D22" s="424"/>
      <c r="E22" s="425" t="s">
        <v>557</v>
      </c>
      <c r="F22" s="426"/>
    </row>
    <row r="23" spans="1:6">
      <c r="A23" s="421"/>
      <c r="B23" s="427"/>
      <c r="C23" s="428" t="s">
        <v>24</v>
      </c>
      <c r="D23" s="409"/>
      <c r="E23" s="429" t="s">
        <v>24</v>
      </c>
      <c r="F23" s="385"/>
    </row>
    <row r="24" spans="1:6" s="404" customFormat="1" ht="12.75">
      <c r="A24" s="416"/>
      <c r="B24" s="417" t="s">
        <v>548</v>
      </c>
      <c r="C24" s="430">
        <v>1011</v>
      </c>
      <c r="D24" s="431">
        <v>0.7</v>
      </c>
      <c r="E24" s="430">
        <v>762</v>
      </c>
      <c r="F24" s="431">
        <v>0.68</v>
      </c>
    </row>
    <row r="25" spans="1:6" s="404" customFormat="1" ht="12.75">
      <c r="A25" s="416"/>
      <c r="B25" s="417" t="s">
        <v>549</v>
      </c>
      <c r="C25" s="430">
        <v>58</v>
      </c>
      <c r="D25" s="431">
        <v>0.04</v>
      </c>
      <c r="E25" s="430">
        <v>90</v>
      </c>
      <c r="F25" s="431">
        <v>0.08</v>
      </c>
    </row>
    <row r="26" spans="1:6" s="404" customFormat="1" ht="12.75">
      <c r="A26" s="416"/>
      <c r="B26" s="433" t="s">
        <v>550</v>
      </c>
      <c r="C26" s="430">
        <v>130</v>
      </c>
      <c r="D26" s="431">
        <v>0.09</v>
      </c>
      <c r="E26" s="430">
        <v>101</v>
      </c>
      <c r="F26" s="431">
        <v>0.09</v>
      </c>
    </row>
    <row r="27" spans="1:6" s="404" customFormat="1" ht="12.75">
      <c r="A27" s="416"/>
      <c r="B27" s="433" t="s">
        <v>551</v>
      </c>
      <c r="C27" s="430">
        <v>116</v>
      </c>
      <c r="D27" s="431">
        <v>0.08</v>
      </c>
      <c r="E27" s="430">
        <v>101</v>
      </c>
      <c r="F27" s="431">
        <v>0.09</v>
      </c>
    </row>
    <row r="28" spans="1:6" s="404" customFormat="1" ht="12.75">
      <c r="A28" s="416"/>
      <c r="B28" s="417" t="s">
        <v>552</v>
      </c>
      <c r="C28" s="430">
        <v>14</v>
      </c>
      <c r="D28" s="431">
        <v>0.01</v>
      </c>
      <c r="E28" s="430">
        <v>22</v>
      </c>
      <c r="F28" s="431">
        <v>0.02</v>
      </c>
    </row>
    <row r="29" spans="1:6" s="404" customFormat="1" ht="12.75">
      <c r="A29" s="416"/>
      <c r="B29" s="419" t="s">
        <v>553</v>
      </c>
      <c r="C29" s="430">
        <v>116</v>
      </c>
      <c r="D29" s="434">
        <v>0.08</v>
      </c>
      <c r="E29" s="430">
        <v>45</v>
      </c>
      <c r="F29" s="434">
        <v>0.04</v>
      </c>
    </row>
    <row r="30" spans="1:6" s="404" customFormat="1" ht="13.5" thickBot="1">
      <c r="A30" s="416"/>
      <c r="B30" s="435" t="s">
        <v>53</v>
      </c>
      <c r="C30" s="436">
        <f>SUM(C24:C29)</f>
        <v>1445</v>
      </c>
      <c r="D30" s="437">
        <f>SUM(D24:D29)</f>
        <v>0.99999999999999989</v>
      </c>
      <c r="E30" s="436">
        <f>SUM(E24:E29)</f>
        <v>1121</v>
      </c>
      <c r="F30" s="438">
        <f>SUM(F24:F29)</f>
        <v>1</v>
      </c>
    </row>
    <row r="31" spans="1:6">
      <c r="A31" s="421"/>
      <c r="B31" s="424"/>
      <c r="C31" s="439"/>
      <c r="D31" s="424"/>
      <c r="E31" s="440"/>
      <c r="F31" s="426"/>
    </row>
    <row r="32" spans="1:6">
      <c r="A32" s="441">
        <v>43.3</v>
      </c>
      <c r="B32" s="423" t="s">
        <v>554</v>
      </c>
      <c r="C32" s="442"/>
      <c r="D32" s="443"/>
      <c r="E32" s="444"/>
      <c r="F32" s="443"/>
    </row>
    <row r="33" spans="1:7" s="404" customFormat="1" ht="58.5" customHeight="1">
      <c r="A33" s="445"/>
      <c r="B33" s="689" t="s">
        <v>847</v>
      </c>
      <c r="C33" s="689"/>
      <c r="D33" s="689"/>
      <c r="E33" s="689"/>
      <c r="F33" s="689"/>
      <c r="G33" s="488"/>
    </row>
    <row r="34" spans="1:7" ht="15.75" customHeight="1">
      <c r="A34" s="447"/>
      <c r="B34" s="424"/>
      <c r="C34" s="442"/>
      <c r="D34" s="443"/>
      <c r="E34" s="444"/>
      <c r="F34" s="443"/>
    </row>
    <row r="35" spans="1:7">
      <c r="A35" s="447"/>
      <c r="B35" s="423" t="s">
        <v>555</v>
      </c>
      <c r="C35" s="691" t="s">
        <v>556</v>
      </c>
      <c r="D35" s="691"/>
      <c r="E35" s="691"/>
      <c r="F35" s="448"/>
    </row>
    <row r="36" spans="1:7">
      <c r="A36" s="447"/>
      <c r="B36" s="424"/>
      <c r="C36" s="444" t="s">
        <v>654</v>
      </c>
      <c r="D36" s="448"/>
      <c r="E36" s="425" t="s">
        <v>557</v>
      </c>
      <c r="F36" s="443"/>
    </row>
    <row r="37" spans="1:7" s="404" customFormat="1" ht="12.75">
      <c r="A37" s="445"/>
      <c r="B37" s="417" t="s">
        <v>548</v>
      </c>
      <c r="C37" s="418">
        <v>6.3E-2</v>
      </c>
      <c r="D37" s="420"/>
      <c r="E37" s="418">
        <v>6.6000000000000003E-2</v>
      </c>
      <c r="F37" s="420"/>
    </row>
    <row r="38" spans="1:7" s="404" customFormat="1" ht="12.75">
      <c r="A38" s="445"/>
      <c r="B38" s="417" t="s">
        <v>549</v>
      </c>
      <c r="C38" s="418">
        <v>0.03</v>
      </c>
      <c r="D38" s="420"/>
      <c r="E38" s="418">
        <v>3.3000000000000002E-2</v>
      </c>
      <c r="F38" s="420"/>
    </row>
    <row r="39" spans="1:7" s="404" customFormat="1" ht="12.75">
      <c r="A39" s="445"/>
      <c r="B39" s="433" t="s">
        <v>550</v>
      </c>
      <c r="C39" s="418">
        <v>4.1000000000000002E-2</v>
      </c>
      <c r="D39" s="420"/>
      <c r="E39" s="418">
        <v>4.7E-2</v>
      </c>
      <c r="F39" s="420"/>
    </row>
    <row r="40" spans="1:7" s="404" customFormat="1" ht="12.75">
      <c r="A40" s="445"/>
      <c r="B40" s="433" t="s">
        <v>551</v>
      </c>
      <c r="C40" s="418">
        <v>5.8000000000000003E-2</v>
      </c>
      <c r="D40" s="420"/>
      <c r="E40" s="418">
        <v>6.0999999999999999E-2</v>
      </c>
      <c r="F40" s="420"/>
    </row>
    <row r="41" spans="1:7" s="404" customFormat="1" ht="12.75">
      <c r="A41" s="445"/>
      <c r="B41" s="417" t="s">
        <v>552</v>
      </c>
      <c r="C41" s="418">
        <v>5.0000000000000001E-3</v>
      </c>
      <c r="D41" s="420"/>
      <c r="E41" s="418">
        <v>0.03</v>
      </c>
      <c r="F41" s="420"/>
    </row>
    <row r="42" spans="1:7" s="404" customFormat="1" ht="12.75">
      <c r="A42" s="445"/>
      <c r="B42" s="419" t="s">
        <v>553</v>
      </c>
      <c r="C42" s="418">
        <v>6.3E-2</v>
      </c>
      <c r="D42" s="420"/>
      <c r="E42" s="418">
        <v>6.6000000000000003E-2</v>
      </c>
      <c r="F42" s="420"/>
    </row>
    <row r="43" spans="1:7" s="404" customFormat="1" ht="12.75">
      <c r="A43" s="445"/>
      <c r="B43" s="435" t="s">
        <v>53</v>
      </c>
      <c r="C43" s="418">
        <v>5.8999999999999997E-2</v>
      </c>
      <c r="D43" s="420"/>
      <c r="E43" s="418">
        <v>0.06</v>
      </c>
      <c r="F43" s="420"/>
    </row>
    <row r="44" spans="1:7" s="404" customFormat="1" ht="36.75" customHeight="1">
      <c r="A44" s="445"/>
      <c r="B44" s="435"/>
      <c r="C44" s="418"/>
      <c r="D44" s="420"/>
      <c r="E44" s="449"/>
      <c r="F44" s="420"/>
    </row>
    <row r="45" spans="1:7" s="404" customFormat="1" ht="38.25" customHeight="1">
      <c r="A45" s="445"/>
      <c r="B45" s="435"/>
      <c r="C45" s="418"/>
      <c r="D45" s="420"/>
      <c r="E45" s="449"/>
      <c r="F45" s="420"/>
    </row>
    <row r="46" spans="1:7" s="404" customFormat="1" ht="12.75">
      <c r="A46" s="445"/>
      <c r="B46" s="435"/>
      <c r="C46" s="418"/>
      <c r="D46" s="420"/>
      <c r="E46" s="449"/>
      <c r="F46" s="420"/>
    </row>
    <row r="47" spans="1:7" s="10" customFormat="1" ht="10.5" customHeight="1">
      <c r="A47" s="480"/>
      <c r="B47" s="481"/>
      <c r="C47" s="481"/>
      <c r="D47" s="481"/>
      <c r="E47" s="481"/>
      <c r="F47" s="481"/>
    </row>
    <row r="48" spans="1:7">
      <c r="A48" s="450">
        <v>43.4</v>
      </c>
      <c r="B48" s="451" t="s">
        <v>558</v>
      </c>
      <c r="F48" s="409"/>
    </row>
    <row r="49" spans="1:6">
      <c r="A49" s="450"/>
      <c r="B49" s="451"/>
      <c r="C49" s="452" t="str">
        <f>This_year</f>
        <v>2012/13</v>
      </c>
      <c r="D49" s="409"/>
      <c r="E49" s="453" t="str">
        <f>Last_year</f>
        <v>2011/12</v>
      </c>
      <c r="F49" s="409"/>
    </row>
    <row r="50" spans="1:6">
      <c r="A50" s="447"/>
      <c r="B50" s="424"/>
      <c r="C50" s="428" t="s">
        <v>24</v>
      </c>
      <c r="D50" s="409"/>
      <c r="E50" s="429" t="s">
        <v>24</v>
      </c>
      <c r="F50" s="409"/>
    </row>
    <row r="51" spans="1:6" s="404" customFormat="1" ht="12.75">
      <c r="A51" s="445"/>
      <c r="B51" s="419" t="s">
        <v>608</v>
      </c>
      <c r="C51" s="430">
        <v>-108</v>
      </c>
      <c r="D51" s="420"/>
      <c r="E51" s="430">
        <v>-76</v>
      </c>
      <c r="F51" s="420"/>
    </row>
    <row r="52" spans="1:6" s="404" customFormat="1" ht="12.75">
      <c r="A52" s="445"/>
      <c r="B52" s="419" t="s">
        <v>607</v>
      </c>
      <c r="C52" s="430">
        <v>-88</v>
      </c>
      <c r="D52" s="420"/>
      <c r="E52" s="430">
        <v>-78</v>
      </c>
      <c r="F52" s="420"/>
    </row>
    <row r="53" spans="1:6" s="404" customFormat="1" ht="12.75">
      <c r="A53" s="445"/>
      <c r="B53" s="419" t="s">
        <v>606</v>
      </c>
      <c r="C53" s="430">
        <v>70</v>
      </c>
      <c r="D53" s="420"/>
      <c r="E53" s="430">
        <v>79</v>
      </c>
      <c r="F53" s="420"/>
    </row>
    <row r="54" spans="1:6" s="404" customFormat="1" ht="12.75">
      <c r="A54" s="445"/>
      <c r="B54" s="417" t="s">
        <v>605</v>
      </c>
      <c r="C54" s="430">
        <v>42</v>
      </c>
      <c r="D54" s="382"/>
      <c r="E54" s="430">
        <v>-372</v>
      </c>
      <c r="F54" s="420"/>
    </row>
    <row r="55" spans="1:6" s="404" customFormat="1" ht="13.5" thickBot="1">
      <c r="A55" s="445"/>
      <c r="B55" s="454" t="s">
        <v>562</v>
      </c>
      <c r="C55" s="436">
        <f>SUM(C51:C54)</f>
        <v>-84</v>
      </c>
      <c r="D55" s="455"/>
      <c r="E55" s="436">
        <f>SUM(E51:E54)</f>
        <v>-447</v>
      </c>
      <c r="F55" s="455"/>
    </row>
    <row r="56" spans="1:6" ht="10.5" customHeight="1">
      <c r="A56" s="447"/>
      <c r="B56" s="456"/>
      <c r="C56" s="457"/>
      <c r="D56" s="429"/>
      <c r="E56" s="458"/>
      <c r="F56" s="429"/>
    </row>
    <row r="57" spans="1:6">
      <c r="A57" s="407">
        <v>43.5</v>
      </c>
      <c r="B57" s="451" t="s">
        <v>563</v>
      </c>
      <c r="F57" s="409"/>
    </row>
    <row r="58" spans="1:6">
      <c r="A58" s="407"/>
      <c r="B58" s="451"/>
      <c r="C58" s="452" t="str">
        <f>This_year</f>
        <v>2012/13</v>
      </c>
      <c r="D58" s="409"/>
      <c r="E58" s="453" t="str">
        <f>Last_year</f>
        <v>2011/12</v>
      </c>
      <c r="F58" s="409"/>
    </row>
    <row r="59" spans="1:6">
      <c r="A59" s="408"/>
      <c r="B59" s="385"/>
      <c r="C59" s="428" t="s">
        <v>24</v>
      </c>
      <c r="D59" s="409"/>
      <c r="E59" s="459" t="s">
        <v>24</v>
      </c>
      <c r="F59" s="409"/>
    </row>
    <row r="60" spans="1:6" s="404" customFormat="1" ht="12.75">
      <c r="A60" s="416"/>
      <c r="B60" s="435" t="s">
        <v>564</v>
      </c>
      <c r="C60" s="460">
        <v>-435</v>
      </c>
      <c r="D60" s="461"/>
      <c r="E60" s="460">
        <v>-422</v>
      </c>
      <c r="F60" s="413"/>
    </row>
    <row r="61" spans="1:6" ht="11.25" customHeight="1">
      <c r="A61" s="421"/>
      <c r="B61" s="423"/>
      <c r="C61" s="462"/>
      <c r="D61" s="439"/>
      <c r="E61" s="462"/>
      <c r="F61" s="424"/>
    </row>
    <row r="62" spans="1:6" s="404" customFormat="1" ht="25.5" customHeight="1">
      <c r="A62" s="507"/>
      <c r="B62" s="689" t="s">
        <v>627</v>
      </c>
      <c r="C62" s="689"/>
      <c r="D62" s="689"/>
      <c r="E62" s="689"/>
      <c r="F62" s="413"/>
    </row>
    <row r="63" spans="1:6" s="404" customFormat="1" ht="12.75">
      <c r="A63" s="416"/>
      <c r="B63" s="413"/>
      <c r="C63" s="460"/>
      <c r="D63" s="461"/>
      <c r="E63" s="460"/>
      <c r="F63" s="413"/>
    </row>
    <row r="64" spans="1:6" s="404" customFormat="1" ht="12.75">
      <c r="A64" s="411"/>
      <c r="B64" s="419" t="s">
        <v>565</v>
      </c>
      <c r="C64" s="430">
        <v>-2142</v>
      </c>
      <c r="D64" s="430"/>
      <c r="E64" s="430">
        <v>-1805</v>
      </c>
      <c r="F64" s="432"/>
    </row>
    <row r="65" spans="1:6" s="404" customFormat="1" ht="12.75">
      <c r="A65" s="416"/>
      <c r="B65" s="419" t="s">
        <v>566</v>
      </c>
      <c r="C65" s="494">
        <v>1445</v>
      </c>
      <c r="D65" s="430"/>
      <c r="E65" s="494">
        <v>1121</v>
      </c>
      <c r="F65" s="432"/>
    </row>
    <row r="66" spans="1:6" s="404" customFormat="1" ht="13.5" thickBot="1">
      <c r="A66" s="416"/>
      <c r="B66" s="435" t="s">
        <v>567</v>
      </c>
      <c r="C66" s="436">
        <f>SUM(C64:C65)</f>
        <v>-697</v>
      </c>
      <c r="D66" s="461"/>
      <c r="E66" s="436">
        <f>SUM(E64:E65)</f>
        <v>-684</v>
      </c>
      <c r="F66" s="413"/>
    </row>
    <row r="67" spans="1:6" s="404" customFormat="1" ht="12.75" customHeight="1">
      <c r="A67" s="416"/>
      <c r="B67" s="435"/>
      <c r="C67" s="460"/>
      <c r="D67" s="461"/>
      <c r="E67" s="460"/>
      <c r="F67" s="413"/>
    </row>
    <row r="68" spans="1:6">
      <c r="A68" s="422">
        <v>43.6</v>
      </c>
      <c r="B68" s="423" t="s">
        <v>568</v>
      </c>
      <c r="C68" s="439"/>
      <c r="D68" s="424"/>
      <c r="E68" s="463"/>
      <c r="F68" s="424"/>
    </row>
    <row r="69" spans="1:6">
      <c r="A69" s="421"/>
      <c r="B69" s="424"/>
      <c r="C69" s="452" t="str">
        <f>This_year</f>
        <v>2012/13</v>
      </c>
      <c r="D69" s="409"/>
      <c r="E69" s="453" t="str">
        <f>Last_year</f>
        <v>2011/12</v>
      </c>
      <c r="F69" s="424"/>
    </row>
    <row r="70" spans="1:6">
      <c r="A70" s="421"/>
      <c r="B70" s="424"/>
      <c r="C70" s="428" t="s">
        <v>24</v>
      </c>
      <c r="D70" s="424"/>
      <c r="E70" s="459" t="s">
        <v>24</v>
      </c>
      <c r="F70" s="424"/>
    </row>
    <row r="71" spans="1:6" s="404" customFormat="1" ht="12.75">
      <c r="A71" s="416"/>
      <c r="B71" s="419" t="s">
        <v>569</v>
      </c>
      <c r="C71" s="430">
        <v>-422</v>
      </c>
      <c r="D71" s="430"/>
      <c r="E71" s="430">
        <v>-28</v>
      </c>
      <c r="F71" s="413"/>
    </row>
    <row r="72" spans="1:6" s="404" customFormat="1" ht="12.75">
      <c r="A72" s="416"/>
      <c r="B72" s="419" t="s">
        <v>570</v>
      </c>
      <c r="C72" s="430">
        <v>-126</v>
      </c>
      <c r="D72" s="430"/>
      <c r="E72" s="430">
        <v>-75</v>
      </c>
      <c r="F72" s="413"/>
    </row>
    <row r="73" spans="1:6" s="404" customFormat="1" ht="12.75">
      <c r="A73" s="416"/>
      <c r="B73" s="419" t="s">
        <v>571</v>
      </c>
      <c r="C73" s="430">
        <v>71</v>
      </c>
      <c r="D73" s="430"/>
      <c r="E73" s="430">
        <v>53</v>
      </c>
      <c r="F73" s="413"/>
    </row>
    <row r="74" spans="1:6" s="404" customFormat="1" ht="12.75">
      <c r="A74" s="416"/>
      <c r="B74" s="419" t="s">
        <v>572</v>
      </c>
      <c r="C74" s="430">
        <v>42</v>
      </c>
      <c r="D74" s="430"/>
      <c r="E74" s="430">
        <v>-372</v>
      </c>
      <c r="F74" s="420"/>
    </row>
    <row r="75" spans="1:6" s="404" customFormat="1" ht="13.5" thickBot="1">
      <c r="A75" s="416"/>
      <c r="B75" s="435" t="s">
        <v>573</v>
      </c>
      <c r="C75" s="436">
        <f>SUM(C71:C74)</f>
        <v>-435</v>
      </c>
      <c r="D75" s="430"/>
      <c r="E75" s="436">
        <f>SUM(E71:E74)</f>
        <v>-422</v>
      </c>
      <c r="F75" s="420"/>
    </row>
    <row r="76" spans="1:6" ht="9.75" customHeight="1">
      <c r="A76" s="421"/>
      <c r="B76" s="423"/>
      <c r="C76" s="429"/>
      <c r="D76" s="443"/>
      <c r="E76" s="464"/>
      <c r="F76" s="443"/>
    </row>
    <row r="77" spans="1:6">
      <c r="A77" s="422">
        <v>43.7</v>
      </c>
      <c r="B77" s="423" t="s">
        <v>574</v>
      </c>
      <c r="C77" s="465"/>
      <c r="D77" s="424"/>
      <c r="E77" s="465"/>
      <c r="F77" s="424"/>
    </row>
    <row r="78" spans="1:6">
      <c r="A78" s="421"/>
      <c r="B78" s="424"/>
      <c r="C78" s="452" t="str">
        <f>This_year</f>
        <v>2012/13</v>
      </c>
      <c r="D78" s="424"/>
      <c r="E78" s="453" t="str">
        <f>Last_year</f>
        <v>2011/12</v>
      </c>
      <c r="F78" s="409"/>
    </row>
    <row r="79" spans="1:6">
      <c r="A79" s="421"/>
      <c r="B79" s="424"/>
      <c r="C79" s="428" t="s">
        <v>24</v>
      </c>
      <c r="D79" s="424"/>
      <c r="E79" s="459" t="s">
        <v>24</v>
      </c>
      <c r="F79" s="409"/>
    </row>
    <row r="80" spans="1:6" s="404" customFormat="1" ht="12.75">
      <c r="A80" s="416"/>
      <c r="B80" s="466" t="s">
        <v>575</v>
      </c>
      <c r="C80" s="430">
        <v>1805</v>
      </c>
      <c r="D80" s="382"/>
      <c r="E80" s="430">
        <v>1387</v>
      </c>
      <c r="F80" s="382"/>
    </row>
    <row r="81" spans="1:6" s="404" customFormat="1" ht="12.75">
      <c r="A81" s="416"/>
      <c r="B81" s="417" t="s">
        <v>559</v>
      </c>
      <c r="C81" s="430">
        <v>108</v>
      </c>
      <c r="D81" s="382"/>
      <c r="E81" s="430">
        <v>76</v>
      </c>
      <c r="F81" s="382"/>
    </row>
    <row r="82" spans="1:6" s="404" customFormat="1" ht="12.75">
      <c r="A82" s="416"/>
      <c r="B82" s="417" t="s">
        <v>576</v>
      </c>
      <c r="C82" s="430">
        <v>0</v>
      </c>
      <c r="D82" s="382"/>
      <c r="E82" s="430">
        <v>0</v>
      </c>
      <c r="F82" s="382"/>
    </row>
    <row r="83" spans="1:6" s="404" customFormat="1" ht="12.75">
      <c r="A83" s="416"/>
      <c r="B83" s="417" t="s">
        <v>560</v>
      </c>
      <c r="C83" s="430">
        <v>88</v>
      </c>
      <c r="D83" s="382"/>
      <c r="E83" s="430">
        <v>78</v>
      </c>
      <c r="F83" s="382"/>
    </row>
    <row r="84" spans="1:6" s="404" customFormat="1" ht="12.75">
      <c r="A84" s="416"/>
      <c r="B84" s="417" t="s">
        <v>577</v>
      </c>
      <c r="C84" s="430">
        <v>31</v>
      </c>
      <c r="D84" s="382"/>
      <c r="E84" s="430">
        <v>26</v>
      </c>
      <c r="F84" s="382"/>
    </row>
    <row r="85" spans="1:6" s="404" customFormat="1" ht="12.75">
      <c r="A85" s="416"/>
      <c r="B85" s="417" t="s">
        <v>578</v>
      </c>
      <c r="C85" s="430">
        <v>0</v>
      </c>
      <c r="D85" s="382"/>
      <c r="E85" s="430">
        <v>0</v>
      </c>
      <c r="F85" s="446"/>
    </row>
    <row r="86" spans="1:6" s="404" customFormat="1" ht="12.75">
      <c r="A86" s="416"/>
      <c r="B86" s="417" t="s">
        <v>579</v>
      </c>
      <c r="C86" s="430">
        <v>122</v>
      </c>
      <c r="D86" s="382"/>
      <c r="E86" s="430">
        <v>266</v>
      </c>
      <c r="F86" s="446"/>
    </row>
    <row r="87" spans="1:6" s="404" customFormat="1" ht="12.75">
      <c r="A87" s="416"/>
      <c r="B87" s="417" t="s">
        <v>580</v>
      </c>
      <c r="C87" s="430">
        <v>0</v>
      </c>
      <c r="D87" s="382"/>
      <c r="E87" s="430">
        <v>0</v>
      </c>
      <c r="F87" s="446"/>
    </row>
    <row r="88" spans="1:6" s="404" customFormat="1" ht="12.75">
      <c r="A88" s="416"/>
      <c r="B88" s="417" t="s">
        <v>581</v>
      </c>
      <c r="C88" s="430">
        <v>0</v>
      </c>
      <c r="D88" s="382"/>
      <c r="E88" s="430">
        <v>0</v>
      </c>
      <c r="F88" s="446"/>
    </row>
    <row r="89" spans="1:6" s="404" customFormat="1" ht="12.75">
      <c r="A89" s="416"/>
      <c r="B89" s="417" t="s">
        <v>582</v>
      </c>
      <c r="C89" s="430">
        <v>-12</v>
      </c>
      <c r="D89" s="467"/>
      <c r="E89" s="430">
        <v>-28</v>
      </c>
      <c r="F89" s="446"/>
    </row>
    <row r="90" spans="1:6" s="404" customFormat="1" ht="13.5" thickBot="1">
      <c r="A90" s="416"/>
      <c r="B90" s="466" t="s">
        <v>583</v>
      </c>
      <c r="C90" s="436">
        <f>SUM(C80:C89)</f>
        <v>2142</v>
      </c>
      <c r="D90" s="467"/>
      <c r="E90" s="436">
        <f>SUM(E80:E89)</f>
        <v>1805</v>
      </c>
      <c r="F90" s="446"/>
    </row>
    <row r="91" spans="1:6" ht="9.75" customHeight="1">
      <c r="A91" s="421"/>
      <c r="B91" s="385"/>
      <c r="C91" s="468"/>
      <c r="D91" s="469"/>
      <c r="E91" s="385"/>
      <c r="F91" s="442"/>
    </row>
    <row r="92" spans="1:6">
      <c r="A92" s="422">
        <v>43.8</v>
      </c>
      <c r="B92" s="451" t="s">
        <v>584</v>
      </c>
      <c r="C92" s="464"/>
      <c r="D92" s="409"/>
      <c r="E92" s="385"/>
      <c r="F92" s="468"/>
    </row>
    <row r="93" spans="1:6">
      <c r="A93" s="421"/>
      <c r="B93" s="385"/>
      <c r="C93" s="452" t="str">
        <f>This_year</f>
        <v>2012/13</v>
      </c>
      <c r="D93" s="385"/>
      <c r="E93" s="453" t="str">
        <f>Last_year</f>
        <v>2011/12</v>
      </c>
      <c r="F93" s="409"/>
    </row>
    <row r="94" spans="1:6">
      <c r="A94" s="421"/>
      <c r="B94" s="385"/>
      <c r="C94" s="428" t="s">
        <v>24</v>
      </c>
      <c r="D94" s="385"/>
      <c r="E94" s="459" t="s">
        <v>24</v>
      </c>
      <c r="F94" s="409"/>
    </row>
    <row r="95" spans="1:6" s="404" customFormat="1" ht="12.75">
      <c r="A95" s="416"/>
      <c r="B95" s="466" t="s">
        <v>585</v>
      </c>
      <c r="C95" s="430">
        <v>1121</v>
      </c>
      <c r="D95" s="382"/>
      <c r="E95" s="430">
        <v>1097</v>
      </c>
      <c r="F95" s="382"/>
    </row>
    <row r="96" spans="1:6" s="404" customFormat="1" ht="12.75">
      <c r="A96" s="416"/>
      <c r="B96" s="417" t="s">
        <v>561</v>
      </c>
      <c r="C96" s="430">
        <v>70</v>
      </c>
      <c r="D96" s="382"/>
      <c r="E96" s="430">
        <v>79</v>
      </c>
      <c r="F96" s="382"/>
    </row>
    <row r="97" spans="1:6" s="404" customFormat="1" ht="12.75">
      <c r="A97" s="416"/>
      <c r="B97" s="417" t="s">
        <v>586</v>
      </c>
      <c r="C97" s="430">
        <v>164</v>
      </c>
      <c r="D97" s="382"/>
      <c r="E97" s="430">
        <v>-106</v>
      </c>
      <c r="F97" s="382"/>
    </row>
    <row r="98" spans="1:6" s="404" customFormat="1" ht="12.75">
      <c r="A98" s="416"/>
      <c r="B98" s="417" t="s">
        <v>587</v>
      </c>
      <c r="C98" s="430">
        <v>71</v>
      </c>
      <c r="D98" s="382"/>
      <c r="E98" s="430">
        <v>53</v>
      </c>
      <c r="F98" s="382"/>
    </row>
    <row r="99" spans="1:6" s="404" customFormat="1" ht="12.75">
      <c r="A99" s="416"/>
      <c r="B99" s="417" t="s">
        <v>577</v>
      </c>
      <c r="C99" s="430">
        <v>31</v>
      </c>
      <c r="D99" s="382"/>
      <c r="E99" s="430">
        <v>26</v>
      </c>
      <c r="F99" s="382"/>
    </row>
    <row r="100" spans="1:6" s="404" customFormat="1" ht="12.75">
      <c r="A100" s="416"/>
      <c r="B100" s="417" t="s">
        <v>582</v>
      </c>
      <c r="C100" s="430">
        <v>-12</v>
      </c>
      <c r="D100" s="382"/>
      <c r="E100" s="430">
        <v>-28</v>
      </c>
      <c r="F100" s="382"/>
    </row>
    <row r="101" spans="1:6" s="404" customFormat="1" ht="13.5" thickBot="1">
      <c r="A101" s="416"/>
      <c r="B101" s="466" t="s">
        <v>588</v>
      </c>
      <c r="C101" s="436">
        <f>SUM(C95:C100)</f>
        <v>1445</v>
      </c>
      <c r="D101" s="382"/>
      <c r="E101" s="436">
        <f>SUM(E95:E100)</f>
        <v>1121</v>
      </c>
      <c r="F101" s="382"/>
    </row>
    <row r="102" spans="1:6">
      <c r="A102" s="49"/>
      <c r="B102" s="49"/>
      <c r="C102" s="49"/>
      <c r="D102" s="49"/>
      <c r="E102" s="49"/>
      <c r="F102" s="49"/>
    </row>
    <row r="103" spans="1:6">
      <c r="A103" s="49"/>
      <c r="B103" s="49"/>
      <c r="C103" s="49"/>
      <c r="D103" s="49"/>
      <c r="E103" s="49"/>
      <c r="F103" s="49"/>
    </row>
    <row r="104" spans="1:6">
      <c r="A104" s="49"/>
      <c r="B104" s="49"/>
      <c r="C104" s="49"/>
      <c r="D104" s="49"/>
      <c r="E104" s="49"/>
      <c r="F104" s="49"/>
    </row>
    <row r="105" spans="1:6">
      <c r="A105" s="49"/>
      <c r="B105" s="49"/>
      <c r="C105" s="49"/>
      <c r="D105" s="49"/>
      <c r="E105" s="49"/>
      <c r="F105" s="49"/>
    </row>
    <row r="106" spans="1:6">
      <c r="A106" s="49"/>
      <c r="B106" s="49"/>
      <c r="C106" s="49"/>
      <c r="D106" s="49"/>
      <c r="E106" s="49"/>
      <c r="F106" s="49"/>
    </row>
    <row r="107" spans="1:6">
      <c r="A107" s="49"/>
      <c r="B107" s="49"/>
      <c r="C107" s="49"/>
      <c r="D107" s="49"/>
      <c r="E107" s="49"/>
      <c r="F107" s="49"/>
    </row>
    <row r="108" spans="1:6">
      <c r="A108" s="49"/>
      <c r="B108" s="49"/>
      <c r="C108" s="49"/>
      <c r="D108" s="49"/>
      <c r="E108" s="49"/>
      <c r="F108" s="49"/>
    </row>
    <row r="109" spans="1:6">
      <c r="A109" s="49"/>
      <c r="B109" s="49"/>
      <c r="C109" s="49"/>
      <c r="D109" s="49"/>
      <c r="E109" s="49"/>
      <c r="F109" s="49"/>
    </row>
    <row r="110" spans="1:6">
      <c r="A110" s="49"/>
      <c r="B110" s="49"/>
      <c r="C110" s="49"/>
      <c r="D110" s="49"/>
      <c r="E110" s="49"/>
      <c r="F110" s="49"/>
    </row>
    <row r="111" spans="1:6">
      <c r="A111" s="49"/>
      <c r="B111" s="49"/>
      <c r="C111" s="49"/>
      <c r="D111" s="49"/>
      <c r="E111" s="49"/>
      <c r="F111" s="49"/>
    </row>
    <row r="112" spans="1:6">
      <c r="A112" s="49"/>
      <c r="B112" s="49"/>
      <c r="C112" s="49"/>
      <c r="D112" s="49"/>
      <c r="E112" s="49"/>
      <c r="F112" s="49"/>
    </row>
  </sheetData>
  <mergeCells count="10">
    <mergeCell ref="B62:E62"/>
    <mergeCell ref="B33:F33"/>
    <mergeCell ref="B3:F3"/>
    <mergeCell ref="B1:E1"/>
    <mergeCell ref="C35:E35"/>
    <mergeCell ref="B9:F9"/>
    <mergeCell ref="B7:F7"/>
    <mergeCell ref="B6:F6"/>
    <mergeCell ref="B5:F5"/>
    <mergeCell ref="B4:F4"/>
  </mergeCells>
  <pageMargins left="0.70866141732283472" right="0.29385416666666669" top="0.65874999999999995" bottom="0.74803149606299213" header="0.38750000000000001" footer="0.31496062992125984"/>
  <pageSetup paperSize="9" scale="85" fitToHeight="0" orientation="portrait" r:id="rId1"/>
  <headerFooter differentOddEven="1">
    <oddHeader>&amp;C&amp;12Oxford Health NHS Foundation Trust - Annual Accounts 2012/13</oddHeader>
    <oddFooter>&amp;C&amp;12Page 45</oddFooter>
    <evenHeader>&amp;C&amp;12Oxford Health NHS Foundation Trust - Annual Accounts 2012/13</evenHeader>
    <evenFooter>&amp;C&amp;12Page 46</evenFooter>
    <firstHeader>&amp;COxford Health NHS Foundation Trust - Annual Accounts 2011/12</firstHeader>
    <firstFooter>&amp;CPage 44</firstFooter>
  </headerFooter>
</worksheet>
</file>

<file path=xl/worksheets/sheet4.xml><?xml version="1.0" encoding="utf-8"?>
<worksheet xmlns="http://schemas.openxmlformats.org/spreadsheetml/2006/main" xmlns:r="http://schemas.openxmlformats.org/officeDocument/2006/relationships">
  <sheetPr codeName="Sheet5">
    <pageSetUpPr fitToPage="1"/>
  </sheetPr>
  <dimension ref="A1:F66"/>
  <sheetViews>
    <sheetView view="pageLayout" topLeftCell="A20" zoomScale="60" zoomScaleNormal="70" zoomScalePageLayoutView="60" workbookViewId="0">
      <selection activeCell="B46" sqref="B46"/>
    </sheetView>
  </sheetViews>
  <sheetFormatPr defaultRowHeight="15"/>
  <cols>
    <col min="1" max="1" width="69.85546875" customWidth="1"/>
    <col min="2" max="2" width="7.7109375" style="15" customWidth="1"/>
    <col min="3" max="3" width="5" customWidth="1"/>
    <col min="4" max="4" width="19" style="49" customWidth="1"/>
    <col min="5" max="5" width="3" customWidth="1"/>
    <col min="6" max="6" width="18.28515625" customWidth="1"/>
    <col min="7" max="7" width="2.7109375" customWidth="1"/>
    <col min="8" max="8" width="2.85546875" customWidth="1"/>
  </cols>
  <sheetData>
    <row r="1" spans="1:6" s="10" customFormat="1">
      <c r="B1" s="27"/>
      <c r="D1" s="50"/>
    </row>
    <row r="3" spans="1:6" s="4" customFormat="1" ht="15.75">
      <c r="A3" s="648" t="s">
        <v>25</v>
      </c>
      <c r="B3" s="648"/>
      <c r="C3" s="648"/>
      <c r="D3" s="648"/>
      <c r="E3" s="648"/>
      <c r="F3" s="648"/>
    </row>
    <row r="4" spans="1:6" s="4" customFormat="1" ht="15.75">
      <c r="A4" s="649">
        <f xml:space="preserve"> This_year_ended</f>
        <v>41364</v>
      </c>
      <c r="B4" s="649"/>
      <c r="C4" s="649"/>
      <c r="D4" s="649"/>
      <c r="E4" s="649"/>
      <c r="F4" s="649"/>
    </row>
    <row r="5" spans="1:6" ht="15.75">
      <c r="A5" s="6"/>
      <c r="B5" s="17"/>
      <c r="C5" s="6"/>
      <c r="D5" s="51"/>
      <c r="E5" s="6"/>
      <c r="F5" s="6"/>
    </row>
    <row r="6" spans="1:6" s="400" customFormat="1" ht="33.75" customHeight="1">
      <c r="A6" s="378"/>
      <c r="B6" s="378"/>
      <c r="C6" s="378"/>
      <c r="D6" s="8">
        <f>This_year_ended</f>
        <v>41364</v>
      </c>
      <c r="E6" s="9"/>
      <c r="F6" s="537">
        <f>Last_year_ended</f>
        <v>40999</v>
      </c>
    </row>
    <row r="7" spans="1:6" s="4" customFormat="1" ht="15.75">
      <c r="A7" s="112"/>
      <c r="B7" s="112"/>
      <c r="C7" s="112"/>
      <c r="D7" s="358"/>
      <c r="E7" s="9"/>
      <c r="F7" s="538"/>
    </row>
    <row r="8" spans="1:6" ht="15.75">
      <c r="A8" s="1"/>
      <c r="B8" s="21" t="s">
        <v>9</v>
      </c>
      <c r="C8" s="1"/>
      <c r="D8" s="12" t="s">
        <v>24</v>
      </c>
      <c r="F8" s="128" t="s">
        <v>24</v>
      </c>
    </row>
    <row r="9" spans="1:6" ht="15.75">
      <c r="A9" s="5" t="s">
        <v>26</v>
      </c>
      <c r="B9" s="582"/>
      <c r="C9" s="1"/>
      <c r="D9" s="52"/>
      <c r="F9" s="52"/>
    </row>
    <row r="10" spans="1:6" ht="15.75">
      <c r="A10" s="1"/>
      <c r="B10" s="583"/>
      <c r="C10" s="1"/>
      <c r="D10" s="53"/>
      <c r="F10" s="539"/>
    </row>
    <row r="11" spans="1:6" ht="15.75">
      <c r="A11" s="1" t="s">
        <v>27</v>
      </c>
      <c r="B11" s="583">
        <v>18</v>
      </c>
      <c r="C11" s="1"/>
      <c r="D11" s="371">
        <v>305</v>
      </c>
      <c r="F11" s="540">
        <v>292</v>
      </c>
    </row>
    <row r="12" spans="1:6" ht="15.75">
      <c r="A12" s="1" t="s">
        <v>28</v>
      </c>
      <c r="B12" s="583">
        <v>19</v>
      </c>
      <c r="C12" s="1"/>
      <c r="D12" s="371">
        <v>136891</v>
      </c>
      <c r="F12" s="540">
        <v>122601</v>
      </c>
    </row>
    <row r="13" spans="1:6" ht="15.75">
      <c r="A13" s="1" t="s">
        <v>29</v>
      </c>
      <c r="B13" s="583">
        <v>22</v>
      </c>
      <c r="C13" s="1"/>
      <c r="D13" s="371">
        <v>30</v>
      </c>
      <c r="F13" s="540">
        <v>30</v>
      </c>
    </row>
    <row r="14" spans="1:6" ht="15.75">
      <c r="A14" s="1"/>
      <c r="B14" s="583"/>
      <c r="C14" s="1"/>
      <c r="D14" s="52"/>
      <c r="F14" s="52"/>
    </row>
    <row r="15" spans="1:6" ht="15.75">
      <c r="A15" s="5" t="s">
        <v>398</v>
      </c>
      <c r="B15" s="583"/>
      <c r="C15" s="1"/>
      <c r="D15" s="23">
        <f>SUM(D11:D13)</f>
        <v>137226</v>
      </c>
      <c r="F15" s="541">
        <f>SUM(F11:F13)</f>
        <v>122923</v>
      </c>
    </row>
    <row r="16" spans="1:6" ht="15.75">
      <c r="A16" s="1"/>
      <c r="B16" s="583"/>
      <c r="C16" s="1"/>
      <c r="D16" s="52"/>
      <c r="F16" s="52"/>
    </row>
    <row r="17" spans="1:6" ht="15.75">
      <c r="A17" s="5" t="s">
        <v>30</v>
      </c>
      <c r="B17" s="583"/>
      <c r="C17" s="1"/>
      <c r="D17" s="52"/>
      <c r="F17" s="52"/>
    </row>
    <row r="18" spans="1:6" ht="15.75">
      <c r="A18" s="1"/>
      <c r="B18" s="583"/>
      <c r="C18" s="1"/>
      <c r="D18" s="52"/>
      <c r="F18" s="52"/>
    </row>
    <row r="19" spans="1:6" ht="15.75">
      <c r="A19" s="1" t="s">
        <v>31</v>
      </c>
      <c r="B19" s="583">
        <v>21</v>
      </c>
      <c r="C19" s="1"/>
      <c r="D19" s="371">
        <v>1555</v>
      </c>
      <c r="F19" s="540">
        <v>1740</v>
      </c>
    </row>
    <row r="20" spans="1:6" ht="15.75">
      <c r="A20" s="1" t="s">
        <v>29</v>
      </c>
      <c r="B20" s="583">
        <v>22</v>
      </c>
      <c r="C20" s="1"/>
      <c r="D20" s="371">
        <v>7791</v>
      </c>
      <c r="F20" s="540">
        <v>7690.6</v>
      </c>
    </row>
    <row r="21" spans="1:6" ht="15.75">
      <c r="A21" s="1" t="s">
        <v>32</v>
      </c>
      <c r="B21" s="583">
        <v>23</v>
      </c>
      <c r="C21" s="1"/>
      <c r="D21" s="371">
        <v>6400</v>
      </c>
      <c r="F21" s="540">
        <v>6400</v>
      </c>
    </row>
    <row r="22" spans="1:6" ht="15.75">
      <c r="A22" s="1" t="s">
        <v>33</v>
      </c>
      <c r="B22" s="583">
        <v>30</v>
      </c>
      <c r="C22" s="1"/>
      <c r="D22" s="371">
        <v>30944</v>
      </c>
      <c r="F22" s="540">
        <v>22788</v>
      </c>
    </row>
    <row r="23" spans="1:6" ht="15.75">
      <c r="A23" s="1"/>
      <c r="B23" s="583"/>
      <c r="C23" s="1"/>
      <c r="D23" s="24"/>
      <c r="F23" s="542"/>
    </row>
    <row r="24" spans="1:6" ht="15.75">
      <c r="A24" s="5" t="s">
        <v>397</v>
      </c>
      <c r="B24" s="583"/>
      <c r="C24" s="1"/>
      <c r="D24" s="23">
        <f>SUM(D19:D22)</f>
        <v>46690</v>
      </c>
      <c r="F24" s="541">
        <f>SUM(F19:F22)</f>
        <v>38618.6</v>
      </c>
    </row>
    <row r="25" spans="1:6" ht="15.75">
      <c r="A25" s="1"/>
      <c r="B25" s="583"/>
      <c r="C25" s="1"/>
      <c r="D25" s="52"/>
      <c r="F25" s="52"/>
    </row>
    <row r="26" spans="1:6" ht="15.75">
      <c r="A26" s="5" t="s">
        <v>34</v>
      </c>
      <c r="B26" s="583"/>
      <c r="C26" s="1"/>
      <c r="D26" s="52"/>
      <c r="F26" s="52"/>
    </row>
    <row r="27" spans="1:6" ht="15.75">
      <c r="A27" s="1"/>
      <c r="B27" s="583"/>
      <c r="C27" s="1"/>
      <c r="D27" s="52"/>
      <c r="F27" s="52"/>
    </row>
    <row r="28" spans="1:6" ht="15.75">
      <c r="A28" s="1" t="s">
        <v>35</v>
      </c>
      <c r="B28" s="583">
        <v>24</v>
      </c>
      <c r="C28" s="1"/>
      <c r="D28" s="371">
        <v>-25864</v>
      </c>
      <c r="F28" s="540">
        <v>-21907</v>
      </c>
    </row>
    <row r="29" spans="1:6" ht="15.75">
      <c r="A29" s="1" t="s">
        <v>36</v>
      </c>
      <c r="B29" s="583">
        <v>25</v>
      </c>
      <c r="C29" s="1"/>
      <c r="D29" s="371">
        <v>-1433</v>
      </c>
      <c r="F29" s="540">
        <v>-103</v>
      </c>
    </row>
    <row r="30" spans="1:6" ht="15.75">
      <c r="A30" s="1" t="s">
        <v>37</v>
      </c>
      <c r="B30" s="583">
        <v>26</v>
      </c>
      <c r="C30" s="1"/>
      <c r="D30" s="371">
        <v>-700</v>
      </c>
      <c r="F30" s="540">
        <v>-607</v>
      </c>
    </row>
    <row r="31" spans="1:6" ht="15.75">
      <c r="A31" s="1" t="s">
        <v>39</v>
      </c>
      <c r="B31" s="583">
        <v>27</v>
      </c>
      <c r="C31" s="1"/>
      <c r="D31" s="371">
        <v>-2334</v>
      </c>
      <c r="F31" s="540">
        <v>-4613</v>
      </c>
    </row>
    <row r="32" spans="1:6" ht="15.75">
      <c r="A32" s="1" t="s">
        <v>38</v>
      </c>
      <c r="B32" s="583">
        <v>28</v>
      </c>
      <c r="C32" s="1"/>
      <c r="D32" s="371">
        <v>-1171</v>
      </c>
      <c r="F32" s="540">
        <v>-1834</v>
      </c>
    </row>
    <row r="33" spans="1:6" ht="15.75">
      <c r="A33" s="1"/>
      <c r="B33" s="583"/>
      <c r="C33" s="1"/>
      <c r="D33" s="24"/>
      <c r="F33" s="542"/>
    </row>
    <row r="34" spans="1:6" ht="15.75">
      <c r="A34" s="5" t="s">
        <v>40</v>
      </c>
      <c r="B34" s="583"/>
      <c r="C34" s="1"/>
      <c r="D34" s="23">
        <f>SUM(D28:D32)</f>
        <v>-31502</v>
      </c>
      <c r="F34" s="541">
        <f>SUM(F28:F32)</f>
        <v>-29064</v>
      </c>
    </row>
    <row r="35" spans="1:6" ht="15.75">
      <c r="A35" s="1"/>
      <c r="B35" s="583"/>
      <c r="C35" s="1"/>
      <c r="D35" s="52"/>
      <c r="F35" s="52"/>
    </row>
    <row r="36" spans="1:6" s="4" customFormat="1" ht="15.75">
      <c r="A36" s="5" t="s">
        <v>41</v>
      </c>
      <c r="B36" s="583"/>
      <c r="C36" s="5"/>
      <c r="D36" s="54"/>
      <c r="F36" s="52"/>
    </row>
    <row r="37" spans="1:6" ht="15.75">
      <c r="A37" s="1"/>
      <c r="B37" s="583"/>
      <c r="C37" s="1"/>
      <c r="D37" s="52"/>
      <c r="F37" s="52"/>
    </row>
    <row r="38" spans="1:6" ht="15.75">
      <c r="A38" s="1" t="s">
        <v>35</v>
      </c>
      <c r="B38" s="583">
        <v>24</v>
      </c>
      <c r="C38" s="1"/>
      <c r="D38" s="371">
        <v>0</v>
      </c>
      <c r="F38" s="540">
        <v>0</v>
      </c>
    </row>
    <row r="39" spans="1:6" ht="15.75">
      <c r="A39" s="1" t="s">
        <v>36</v>
      </c>
      <c r="B39" s="583">
        <v>25</v>
      </c>
      <c r="C39" s="1"/>
      <c r="D39" s="371">
        <v>-31475</v>
      </c>
      <c r="F39" s="540">
        <v>-13608</v>
      </c>
    </row>
    <row r="40" spans="1:6" ht="15.75">
      <c r="A40" s="1" t="s">
        <v>37</v>
      </c>
      <c r="B40" s="583">
        <v>26</v>
      </c>
      <c r="C40" s="1"/>
      <c r="D40" s="371">
        <v>0</v>
      </c>
      <c r="F40" s="540">
        <v>0</v>
      </c>
    </row>
    <row r="41" spans="1:6" ht="15.75">
      <c r="A41" s="1" t="s">
        <v>39</v>
      </c>
      <c r="B41" s="583">
        <v>27</v>
      </c>
      <c r="C41" s="1"/>
      <c r="D41" s="372">
        <v>-435</v>
      </c>
      <c r="F41" s="543">
        <v>0</v>
      </c>
    </row>
    <row r="42" spans="1:6" ht="15.75">
      <c r="A42" s="1" t="s">
        <v>38</v>
      </c>
      <c r="B42" s="583">
        <v>28</v>
      </c>
      <c r="C42" s="1"/>
      <c r="D42" s="371">
        <v>-2594</v>
      </c>
      <c r="F42" s="540">
        <v>-2040</v>
      </c>
    </row>
    <row r="43" spans="1:6" ht="15.75">
      <c r="A43" s="1"/>
      <c r="B43" s="583"/>
      <c r="C43" s="1"/>
      <c r="D43" s="24"/>
      <c r="F43" s="542"/>
    </row>
    <row r="44" spans="1:6" s="4" customFormat="1" ht="15.75">
      <c r="A44" s="5" t="s">
        <v>42</v>
      </c>
      <c r="B44" s="583"/>
      <c r="C44" s="5"/>
      <c r="D44" s="23">
        <f>SUM(D38:D42)</f>
        <v>-34504</v>
      </c>
      <c r="F44" s="541">
        <f>SUM(F38:F42)</f>
        <v>-15648</v>
      </c>
    </row>
    <row r="45" spans="1:6" ht="15.75">
      <c r="A45" s="1"/>
      <c r="B45" s="583"/>
      <c r="C45" s="1"/>
      <c r="D45" s="52"/>
      <c r="F45" s="52"/>
    </row>
    <row r="46" spans="1:6" s="4" customFormat="1" ht="16.5" thickBot="1">
      <c r="A46" s="5" t="s">
        <v>43</v>
      </c>
      <c r="B46" s="583"/>
      <c r="C46" s="5"/>
      <c r="D46" s="55">
        <f>SUM(D44,D34,D24,D15)</f>
        <v>117910</v>
      </c>
      <c r="F46" s="544">
        <f>SUM(F44,F34,F24,F15)-1</f>
        <v>116828.6</v>
      </c>
    </row>
    <row r="47" spans="1:6" ht="16.5" thickTop="1">
      <c r="A47" s="1"/>
      <c r="B47" s="583"/>
      <c r="C47" s="1"/>
      <c r="D47" s="52"/>
      <c r="F47" s="52"/>
    </row>
    <row r="48" spans="1:6" ht="15.75">
      <c r="A48" s="1"/>
      <c r="B48" s="583"/>
      <c r="C48" s="1"/>
      <c r="D48" s="52"/>
      <c r="F48" s="52"/>
    </row>
    <row r="49" spans="1:6" s="4" customFormat="1" ht="15.75">
      <c r="A49" s="5" t="s">
        <v>44</v>
      </c>
      <c r="B49" s="583"/>
      <c r="C49" s="5"/>
      <c r="D49" s="54"/>
      <c r="F49" s="52"/>
    </row>
    <row r="50" spans="1:6" ht="15.75">
      <c r="A50" s="1" t="s">
        <v>45</v>
      </c>
      <c r="B50" s="583"/>
      <c r="C50" s="1"/>
      <c r="D50" s="372">
        <v>88543</v>
      </c>
      <c r="F50" s="543">
        <v>88380</v>
      </c>
    </row>
    <row r="51" spans="1:6" ht="15.75">
      <c r="A51" s="1" t="s">
        <v>46</v>
      </c>
      <c r="B51" s="583">
        <v>29</v>
      </c>
      <c r="C51" s="1"/>
      <c r="D51" s="372">
        <v>15040</v>
      </c>
      <c r="F51" s="543">
        <v>15982</v>
      </c>
    </row>
    <row r="52" spans="1:6" ht="15.75">
      <c r="A52" s="1" t="s">
        <v>47</v>
      </c>
      <c r="B52" s="499"/>
      <c r="C52" s="1"/>
      <c r="D52" s="372">
        <v>0</v>
      </c>
      <c r="F52" s="543">
        <v>0</v>
      </c>
    </row>
    <row r="53" spans="1:6" ht="15.75">
      <c r="A53" s="1" t="s">
        <v>48</v>
      </c>
      <c r="B53" s="16"/>
      <c r="C53" s="1"/>
      <c r="D53" s="372">
        <v>6700</v>
      </c>
      <c r="F53" s="543">
        <v>8076</v>
      </c>
    </row>
    <row r="54" spans="1:6" ht="15.75">
      <c r="A54" s="1" t="s">
        <v>49</v>
      </c>
      <c r="B54" s="16"/>
      <c r="C54" s="1"/>
      <c r="D54" s="372">
        <v>0</v>
      </c>
      <c r="F54" s="543">
        <v>0</v>
      </c>
    </row>
    <row r="55" spans="1:6" ht="15.75">
      <c r="A55" s="1" t="s">
        <v>50</v>
      </c>
      <c r="B55" s="16"/>
      <c r="C55" s="1"/>
      <c r="D55" s="371">
        <v>7627</v>
      </c>
      <c r="F55" s="540">
        <v>4391</v>
      </c>
    </row>
    <row r="56" spans="1:6" ht="15.75">
      <c r="A56" s="1"/>
      <c r="B56" s="16"/>
      <c r="C56" s="1"/>
      <c r="D56" s="22"/>
      <c r="F56" s="545"/>
    </row>
    <row r="57" spans="1:6" s="4" customFormat="1" ht="16.5" thickBot="1">
      <c r="A57" s="5" t="s">
        <v>51</v>
      </c>
      <c r="B57" s="16"/>
      <c r="C57" s="5"/>
      <c r="D57" s="55">
        <f>SUM(D50:D55)</f>
        <v>117910</v>
      </c>
      <c r="F57" s="544">
        <f>SUM(F50:F55)</f>
        <v>116829</v>
      </c>
    </row>
    <row r="58" spans="1:6" ht="16.5" thickTop="1">
      <c r="A58" s="1"/>
      <c r="B58" s="16"/>
      <c r="C58" s="1"/>
      <c r="D58" s="56"/>
      <c r="E58" s="7"/>
      <c r="F58" s="7"/>
    </row>
    <row r="59" spans="1:6" s="49" customFormat="1" ht="15.75">
      <c r="A59" s="470" t="s">
        <v>874</v>
      </c>
      <c r="B59" s="137"/>
      <c r="C59" s="115"/>
      <c r="D59" s="115"/>
      <c r="E59" s="115"/>
      <c r="F59" s="115"/>
    </row>
    <row r="60" spans="1:6" s="49" customFormat="1" ht="15.75">
      <c r="A60" s="115"/>
      <c r="B60" s="137"/>
      <c r="C60" s="115"/>
      <c r="D60" s="115"/>
      <c r="E60" s="115"/>
      <c r="F60" s="115"/>
    </row>
    <row r="61" spans="1:6" s="49" customFormat="1">
      <c r="A61" s="647" t="s">
        <v>429</v>
      </c>
      <c r="B61" s="647"/>
      <c r="C61" s="647"/>
      <c r="D61" s="647"/>
      <c r="E61" s="647"/>
      <c r="F61" s="647"/>
    </row>
    <row r="63" spans="1:6" ht="15.75">
      <c r="A63" s="25" t="s">
        <v>494</v>
      </c>
      <c r="B63" s="28"/>
      <c r="C63" s="25"/>
      <c r="D63" s="25" t="s">
        <v>52</v>
      </c>
      <c r="E63" s="25"/>
      <c r="F63" s="26"/>
    </row>
    <row r="66" spans="1:6">
      <c r="A66" s="647" t="s">
        <v>630</v>
      </c>
      <c r="B66" s="647"/>
      <c r="C66" s="647"/>
      <c r="D66" s="647"/>
      <c r="E66" s="647"/>
      <c r="F66" s="647"/>
    </row>
  </sheetData>
  <mergeCells count="4">
    <mergeCell ref="A61:F61"/>
    <mergeCell ref="A66:F66"/>
    <mergeCell ref="A3:F3"/>
    <mergeCell ref="A4:F4"/>
  </mergeCells>
  <pageMargins left="0.7" right="0.7" top="0.47727272727272729" bottom="0.75" header="0.3" footer="0.3"/>
  <pageSetup paperSize="9" scale="71" orientation="portrait" verticalDpi="200" r:id="rId1"/>
  <headerFooter scaleWithDoc="0">
    <oddHeader xml:space="preserve">&amp;COxford Health NHS Foundation Trust - Annual Accounts 2012/13  </oddHeader>
    <oddFooter>&amp;CPage &amp;[2 - &amp; Statement of Financial Position</oddFooter>
  </headerFooter>
</worksheet>
</file>

<file path=xl/worksheets/sheet5.xml><?xml version="1.0" encoding="utf-8"?>
<worksheet xmlns="http://schemas.openxmlformats.org/spreadsheetml/2006/main" xmlns:r="http://schemas.openxmlformats.org/officeDocument/2006/relationships">
  <sheetPr codeName="Sheet6">
    <pageSetUpPr fitToPage="1"/>
  </sheetPr>
  <dimension ref="A1:F45"/>
  <sheetViews>
    <sheetView view="pageLayout" topLeftCell="A10" zoomScale="70" zoomScaleNormal="80" zoomScalePageLayoutView="70" workbookViewId="0">
      <selection activeCell="B46" sqref="B46"/>
    </sheetView>
  </sheetViews>
  <sheetFormatPr defaultRowHeight="15"/>
  <cols>
    <col min="1" max="1" width="42.7109375" style="49" customWidth="1"/>
    <col min="2" max="3" width="15.85546875" style="49" customWidth="1"/>
    <col min="4" max="5" width="14" style="49" customWidth="1"/>
    <col min="6" max="6" width="14.7109375" style="49" customWidth="1"/>
    <col min="7" max="7" width="2" style="49" customWidth="1"/>
    <col min="8" max="8" width="2.5703125" style="49" customWidth="1"/>
    <col min="9" max="16384" width="9.140625" style="49"/>
  </cols>
  <sheetData>
    <row r="1" spans="1:6">
      <c r="A1" s="50"/>
      <c r="B1" s="50"/>
      <c r="C1" s="50"/>
      <c r="D1" s="50"/>
      <c r="E1" s="50"/>
      <c r="F1" s="50"/>
    </row>
    <row r="2" spans="1:6" ht="15.75">
      <c r="A2" s="643" t="s">
        <v>633</v>
      </c>
      <c r="B2" s="643"/>
      <c r="C2" s="643"/>
      <c r="D2" s="643"/>
      <c r="E2" s="643"/>
      <c r="F2" s="643"/>
    </row>
    <row r="4" spans="1:6" s="115" customFormat="1" ht="47.25">
      <c r="B4" s="159" t="s">
        <v>53</v>
      </c>
      <c r="C4" s="159" t="s">
        <v>54</v>
      </c>
      <c r="D4" s="159" t="s">
        <v>55</v>
      </c>
      <c r="E4" s="159" t="s">
        <v>56</v>
      </c>
      <c r="F4" s="159" t="s">
        <v>57</v>
      </c>
    </row>
    <row r="5" spans="1:6" s="13" customFormat="1">
      <c r="B5" s="12" t="s">
        <v>24</v>
      </c>
      <c r="C5" s="12" t="s">
        <v>24</v>
      </c>
      <c r="D5" s="12" t="s">
        <v>24</v>
      </c>
      <c r="E5" s="12" t="s">
        <v>24</v>
      </c>
      <c r="F5" s="12" t="s">
        <v>24</v>
      </c>
    </row>
    <row r="6" spans="1:6" ht="16.5" thickBot="1">
      <c r="A6" s="160" t="str">
        <f xml:space="preserve"> "Taxpayers' Equity at " &amp; TEXT(This_year_beginning, "d mmmm yyyy")</f>
        <v>Taxpayers' Equity at 1 April 2012</v>
      </c>
      <c r="B6" s="161">
        <v>116829</v>
      </c>
      <c r="C6" s="528">
        <f>C44</f>
        <v>88380</v>
      </c>
      <c r="D6" s="528">
        <v>15982</v>
      </c>
      <c r="E6" s="528">
        <f>E44</f>
        <v>8076</v>
      </c>
      <c r="F6" s="528">
        <v>4391</v>
      </c>
    </row>
    <row r="7" spans="1:6" ht="16.5" thickTop="1">
      <c r="A7" s="145"/>
      <c r="B7" s="162"/>
      <c r="C7" s="162"/>
      <c r="D7" s="162"/>
      <c r="E7" s="162"/>
      <c r="F7" s="162"/>
    </row>
    <row r="8" spans="1:6" ht="15.75">
      <c r="A8" s="145" t="s">
        <v>851</v>
      </c>
      <c r="B8" s="142">
        <v>2762</v>
      </c>
      <c r="C8" s="162"/>
      <c r="D8" s="162"/>
      <c r="E8" s="162"/>
      <c r="F8" s="149">
        <v>2762</v>
      </c>
    </row>
    <row r="9" spans="1:6" ht="15.75">
      <c r="A9" s="145"/>
      <c r="B9" s="163"/>
      <c r="C9" s="162"/>
      <c r="D9" s="162"/>
      <c r="E9" s="162"/>
      <c r="F9" s="162"/>
    </row>
    <row r="10" spans="1:6" ht="15.75">
      <c r="A10" s="145" t="s">
        <v>700</v>
      </c>
      <c r="B10" s="526">
        <v>0</v>
      </c>
      <c r="C10" s="162"/>
      <c r="D10" s="162">
        <v>1376</v>
      </c>
      <c r="E10" s="162">
        <v>-1376</v>
      </c>
    </row>
    <row r="11" spans="1:6" ht="15.75">
      <c r="A11" s="145"/>
      <c r="B11" s="163"/>
      <c r="C11" s="162"/>
      <c r="D11" s="162"/>
      <c r="E11" s="162"/>
      <c r="F11" s="162"/>
    </row>
    <row r="12" spans="1:6" ht="45" customHeight="1">
      <c r="A12" s="145" t="s">
        <v>852</v>
      </c>
      <c r="B12" s="142">
        <f>-6213+4327</f>
        <v>-1886</v>
      </c>
      <c r="C12" s="162"/>
      <c r="D12" s="149">
        <f>-6213+4327</f>
        <v>-1886</v>
      </c>
      <c r="E12" s="142"/>
      <c r="F12" s="162"/>
    </row>
    <row r="13" spans="1:6" ht="15.75">
      <c r="A13" s="145"/>
      <c r="B13" s="163"/>
      <c r="C13" s="162"/>
      <c r="D13" s="162"/>
      <c r="E13" s="162"/>
      <c r="F13" s="162"/>
    </row>
    <row r="14" spans="1:6" ht="30.75" customHeight="1">
      <c r="A14" s="145" t="s">
        <v>853</v>
      </c>
      <c r="B14" s="142">
        <v>42</v>
      </c>
      <c r="C14" s="162"/>
      <c r="D14" s="162"/>
      <c r="E14" s="162"/>
      <c r="F14" s="162">
        <v>42</v>
      </c>
    </row>
    <row r="15" spans="1:6" ht="15.75">
      <c r="A15" s="145"/>
      <c r="B15" s="163"/>
      <c r="C15" s="162"/>
      <c r="D15" s="162"/>
      <c r="E15" s="162"/>
      <c r="F15" s="162"/>
    </row>
    <row r="16" spans="1:6" ht="64.5" customHeight="1">
      <c r="A16" s="145" t="s">
        <v>58</v>
      </c>
      <c r="B16" s="142">
        <v>0</v>
      </c>
      <c r="C16" s="162"/>
      <c r="D16" s="162">
        <v>-432</v>
      </c>
      <c r="E16" s="162"/>
      <c r="F16" s="162">
        <v>432.4</v>
      </c>
    </row>
    <row r="17" spans="1:6" ht="15.75">
      <c r="A17" s="145"/>
      <c r="B17" s="163"/>
      <c r="C17" s="162"/>
      <c r="D17" s="162"/>
      <c r="E17" s="162"/>
      <c r="F17" s="162"/>
    </row>
    <row r="18" spans="1:6" ht="15.75">
      <c r="A18" s="145" t="s">
        <v>59</v>
      </c>
      <c r="B18" s="142">
        <v>0</v>
      </c>
      <c r="C18" s="162"/>
    </row>
    <row r="19" spans="1:6" ht="15.75">
      <c r="A19" s="115"/>
      <c r="B19" s="162"/>
      <c r="C19" s="162"/>
      <c r="D19" s="162"/>
      <c r="E19" s="162"/>
      <c r="F19" s="162"/>
    </row>
    <row r="20" spans="1:6" ht="15.75">
      <c r="A20" s="171" t="s">
        <v>704</v>
      </c>
      <c r="B20" s="525">
        <v>163.4</v>
      </c>
      <c r="C20" s="162">
        <v>163</v>
      </c>
      <c r="D20" s="162"/>
      <c r="E20" s="162"/>
      <c r="F20" s="162"/>
    </row>
    <row r="21" spans="1:6" ht="15.75">
      <c r="A21" s="115"/>
      <c r="B21" s="162"/>
      <c r="C21" s="162"/>
      <c r="D21" s="162"/>
      <c r="E21" s="162"/>
      <c r="F21" s="162"/>
    </row>
    <row r="22" spans="1:6" ht="16.5" thickBot="1">
      <c r="A22" s="160" t="str">
        <f xml:space="preserve"> "Taxpayers' Equity at " &amp; TEXT(This_year_ended, "dd mmmm yyyy")</f>
        <v>Taxpayers' Equity at 31 March 2013</v>
      </c>
      <c r="B22" s="161">
        <f>SUM(B6:B20)</f>
        <v>117910.39999999999</v>
      </c>
      <c r="C22" s="528">
        <f>SUM(C6:C20)</f>
        <v>88543</v>
      </c>
      <c r="D22" s="528">
        <f>SUM(D6:D17)</f>
        <v>15040</v>
      </c>
      <c r="E22" s="528">
        <f>SUM(E6:E17)</f>
        <v>6700</v>
      </c>
      <c r="F22" s="528">
        <f>SUM(F6:F17)</f>
        <v>7627.4</v>
      </c>
    </row>
    <row r="23" spans="1:6" ht="15.75" thickTop="1"/>
    <row r="24" spans="1:6" ht="17.25" customHeight="1"/>
    <row r="25" spans="1:6" ht="15.75" customHeight="1">
      <c r="A25" s="650" t="s">
        <v>495</v>
      </c>
      <c r="B25" s="650"/>
      <c r="C25" s="650"/>
      <c r="D25" s="650"/>
      <c r="E25" s="650"/>
      <c r="F25" s="650"/>
    </row>
    <row r="26" spans="1:6" ht="15.75">
      <c r="A26" s="489"/>
      <c r="B26" s="489"/>
      <c r="C26" s="489"/>
      <c r="D26" s="489"/>
      <c r="E26" s="489"/>
      <c r="F26" s="489"/>
    </row>
    <row r="27" spans="1:6" ht="47.25">
      <c r="A27" s="164"/>
      <c r="B27" s="165" t="s">
        <v>53</v>
      </c>
      <c r="C27" s="165" t="s">
        <v>54</v>
      </c>
      <c r="D27" s="165" t="s">
        <v>55</v>
      </c>
      <c r="E27" s="165" t="s">
        <v>56</v>
      </c>
      <c r="F27" s="165" t="s">
        <v>57</v>
      </c>
    </row>
    <row r="28" spans="1:6" ht="16.5" thickBot="1">
      <c r="A28" s="166" t="s">
        <v>631</v>
      </c>
      <c r="B28" s="527">
        <v>111639</v>
      </c>
      <c r="C28" s="500">
        <v>88380</v>
      </c>
      <c r="D28" s="491">
        <v>12932</v>
      </c>
      <c r="E28" s="491">
        <v>8076</v>
      </c>
      <c r="F28" s="491">
        <v>2251</v>
      </c>
    </row>
    <row r="29" spans="1:6" ht="16.5" thickTop="1">
      <c r="A29" s="167"/>
    </row>
    <row r="30" spans="1:6" ht="15.75">
      <c r="A30" s="145" t="s">
        <v>851</v>
      </c>
      <c r="B30" s="142">
        <v>2177</v>
      </c>
      <c r="C30" s="162"/>
      <c r="D30" s="162"/>
      <c r="E30" s="162"/>
      <c r="F30" s="149">
        <v>2177</v>
      </c>
    </row>
    <row r="31" spans="1:6">
      <c r="A31" s="169"/>
      <c r="B31" s="163"/>
      <c r="C31" s="162"/>
      <c r="D31" s="162"/>
      <c r="E31" s="162"/>
      <c r="F31" s="162"/>
    </row>
    <row r="32" spans="1:6" ht="15.75">
      <c r="A32" s="145" t="s">
        <v>700</v>
      </c>
      <c r="B32" s="526">
        <v>0</v>
      </c>
      <c r="C32" s="162"/>
      <c r="D32" s="162"/>
      <c r="E32" s="162"/>
      <c r="F32" s="162"/>
    </row>
    <row r="33" spans="1:6">
      <c r="A33" s="169"/>
      <c r="B33" s="163"/>
      <c r="C33" s="162"/>
      <c r="D33" s="162"/>
      <c r="E33" s="162"/>
      <c r="F33" s="162"/>
    </row>
    <row r="34" spans="1:6" ht="44.25" customHeight="1">
      <c r="A34" s="170" t="s">
        <v>854</v>
      </c>
      <c r="B34" s="142">
        <v>3384</v>
      </c>
      <c r="C34" s="162"/>
      <c r="D34" s="149">
        <v>3384</v>
      </c>
      <c r="E34" s="142"/>
      <c r="F34" s="162"/>
    </row>
    <row r="35" spans="1:6">
      <c r="A35" s="169"/>
      <c r="B35" s="163"/>
      <c r="C35" s="162"/>
      <c r="D35" s="162"/>
      <c r="E35" s="162"/>
      <c r="F35" s="162"/>
    </row>
    <row r="36" spans="1:6" ht="30.75">
      <c r="A36" s="145" t="s">
        <v>855</v>
      </c>
      <c r="B36" s="142">
        <v>-372</v>
      </c>
      <c r="C36" s="162"/>
      <c r="D36" s="162"/>
      <c r="E36" s="162"/>
      <c r="F36" s="162">
        <v>-372</v>
      </c>
    </row>
    <row r="37" spans="1:6">
      <c r="B37" s="163"/>
      <c r="C37" s="162"/>
      <c r="D37" s="162"/>
      <c r="E37" s="162"/>
      <c r="F37" s="162"/>
    </row>
    <row r="38" spans="1:6" ht="57.75" customHeight="1">
      <c r="A38" s="170" t="s">
        <v>58</v>
      </c>
      <c r="B38" s="142">
        <v>0</v>
      </c>
      <c r="C38" s="162"/>
      <c r="D38" s="162">
        <v>-334</v>
      </c>
      <c r="E38" s="162"/>
      <c r="F38" s="149">
        <v>334</v>
      </c>
    </row>
    <row r="39" spans="1:6">
      <c r="A39" s="170"/>
      <c r="B39" s="163"/>
      <c r="C39" s="162"/>
      <c r="D39" s="162"/>
      <c r="E39" s="162"/>
      <c r="F39" s="162"/>
    </row>
    <row r="40" spans="1:6" ht="15.75">
      <c r="A40" s="168" t="s">
        <v>59</v>
      </c>
      <c r="B40" s="142">
        <v>0</v>
      </c>
      <c r="C40" s="162"/>
    </row>
    <row r="41" spans="1:6" ht="15.75">
      <c r="A41" s="171"/>
      <c r="B41" s="162"/>
      <c r="C41" s="162"/>
      <c r="D41" s="162"/>
      <c r="E41" s="162"/>
      <c r="F41" s="162"/>
    </row>
    <row r="42" spans="1:6" ht="15.75">
      <c r="A42" s="171" t="s">
        <v>704</v>
      </c>
      <c r="B42" s="525">
        <v>0</v>
      </c>
      <c r="C42" s="162"/>
      <c r="D42" s="162"/>
      <c r="E42" s="162"/>
      <c r="F42" s="162"/>
    </row>
    <row r="43" spans="1:6" ht="15.75">
      <c r="A43" s="171"/>
      <c r="B43" s="162"/>
      <c r="C43" s="162"/>
      <c r="D43" s="162"/>
      <c r="E43" s="162"/>
      <c r="F43" s="162"/>
    </row>
    <row r="44" spans="1:6" ht="16.5" thickBot="1">
      <c r="A44" s="166" t="s">
        <v>632</v>
      </c>
      <c r="B44" s="161">
        <f>SUM(B28:B41)+1</f>
        <v>116829</v>
      </c>
      <c r="C44" s="528">
        <f>SUM(C28:C41)</f>
        <v>88380</v>
      </c>
      <c r="D44" s="528">
        <f>SUM(D28:D41)</f>
        <v>15982</v>
      </c>
      <c r="E44" s="528">
        <f>SUM(E28:E41)</f>
        <v>8076</v>
      </c>
      <c r="F44" s="528">
        <f>SUM(F28:F41)+1</f>
        <v>4391</v>
      </c>
    </row>
    <row r="45" spans="1:6" ht="15.75" thickTop="1"/>
  </sheetData>
  <mergeCells count="2">
    <mergeCell ref="A2:F2"/>
    <mergeCell ref="A25:F25"/>
  </mergeCells>
  <pageMargins left="0.70866141732283472" right="0.72678571428571426" top="0.51679687500000004" bottom="0.56000000000000005" header="0.31496062992125984" footer="0.31496062992125984"/>
  <pageSetup paperSize="9" scale="74" orientation="portrait" verticalDpi="200" r:id="rId1"/>
  <headerFooter scaleWithDoc="0">
    <oddHeader xml:space="preserve">&amp;COxford Health NHS Foundation Trust - Annual Accounts 2012/13  </oddHeader>
    <oddFooter>&amp;CPage &amp;[3 - &amp; Statement of Changes in Taxpayers' Equity</oddFooter>
    <firstHeader xml:space="preserve">&amp;COxford Health NHS Foundation Trust - Annual Accounts 2010/11 </firstHeader>
    <firstFooter>&amp;C Page 3 - Statement of Changes in Taxpayers' Equity 2009/10</firstFooter>
  </headerFooter>
</worksheet>
</file>

<file path=xl/worksheets/sheet6.xml><?xml version="1.0" encoding="utf-8"?>
<worksheet xmlns="http://schemas.openxmlformats.org/spreadsheetml/2006/main" xmlns:r="http://schemas.openxmlformats.org/officeDocument/2006/relationships">
  <sheetPr codeName="Sheet7">
    <pageSetUpPr fitToPage="1"/>
  </sheetPr>
  <dimension ref="A1:F47"/>
  <sheetViews>
    <sheetView view="pageLayout" topLeftCell="A21" zoomScale="80" zoomScaleNormal="70" zoomScalePageLayoutView="80" workbookViewId="0">
      <selection activeCell="B46" sqref="B46"/>
    </sheetView>
  </sheetViews>
  <sheetFormatPr defaultRowHeight="15.75"/>
  <cols>
    <col min="1" max="1" width="74" style="13" customWidth="1"/>
    <col min="2" max="2" width="7.5703125" style="140" customWidth="1"/>
    <col min="3" max="3" width="11.7109375" style="14" customWidth="1"/>
    <col min="4" max="4" width="1.85546875" style="13" customWidth="1"/>
    <col min="5" max="5" width="10.5703125" style="13" customWidth="1"/>
    <col min="6" max="6" width="4.7109375" style="13" customWidth="1"/>
    <col min="7" max="16384" width="9.140625" style="13"/>
  </cols>
  <sheetData>
    <row r="1" spans="1:6">
      <c r="A1" s="19"/>
      <c r="B1" s="172"/>
      <c r="C1" s="173"/>
      <c r="D1" s="19"/>
      <c r="E1" s="19"/>
      <c r="F1" s="19"/>
    </row>
    <row r="3" spans="1:6" s="14" customFormat="1">
      <c r="A3" s="643" t="s">
        <v>452</v>
      </c>
      <c r="B3" s="643"/>
      <c r="C3" s="643"/>
      <c r="D3" s="643"/>
      <c r="E3" s="643"/>
      <c r="F3" s="643"/>
    </row>
    <row r="4" spans="1:6" s="14" customFormat="1">
      <c r="A4" s="645">
        <f xml:space="preserve"> This_year_ended</f>
        <v>41364</v>
      </c>
      <c r="B4" s="645"/>
      <c r="C4" s="645"/>
      <c r="D4" s="645"/>
      <c r="E4" s="645"/>
      <c r="F4" s="645"/>
    </row>
    <row r="5" spans="1:6">
      <c r="C5" s="139" t="str">
        <f>This_year</f>
        <v>2012/13</v>
      </c>
      <c r="D5" s="139"/>
      <c r="E5" s="138" t="str">
        <f>Last_year</f>
        <v>2011/12</v>
      </c>
    </row>
    <row r="6" spans="1:6">
      <c r="C6" s="139"/>
      <c r="D6" s="139"/>
      <c r="E6" s="138"/>
    </row>
    <row r="7" spans="1:6">
      <c r="B7" s="140" t="s">
        <v>9</v>
      </c>
      <c r="C7" s="12" t="s">
        <v>24</v>
      </c>
      <c r="D7" s="12"/>
      <c r="E7" s="128" t="s">
        <v>24</v>
      </c>
    </row>
    <row r="8" spans="1:6" s="14" customFormat="1">
      <c r="A8" s="174" t="s">
        <v>60</v>
      </c>
      <c r="B8" s="140"/>
      <c r="E8" s="13"/>
    </row>
    <row r="9" spans="1:6">
      <c r="A9" s="175" t="s">
        <v>856</v>
      </c>
      <c r="C9" s="176">
        <v>7587.0959999999995</v>
      </c>
      <c r="D9" s="122"/>
      <c r="E9" s="532">
        <v>7026</v>
      </c>
    </row>
    <row r="10" spans="1:6">
      <c r="A10" s="175" t="s">
        <v>857</v>
      </c>
      <c r="C10" s="176">
        <v>0</v>
      </c>
      <c r="D10" s="122"/>
      <c r="E10" s="532">
        <v>0</v>
      </c>
    </row>
    <row r="11" spans="1:6" s="14" customFormat="1">
      <c r="A11" s="174" t="s">
        <v>12</v>
      </c>
      <c r="B11" s="140"/>
      <c r="C11" s="177">
        <f t="shared" ref="C11" si="0">SUM(C9:C10)</f>
        <v>7587.0959999999995</v>
      </c>
      <c r="D11" s="177"/>
      <c r="E11" s="533">
        <f>SUM(E9:E10)</f>
        <v>7026</v>
      </c>
    </row>
    <row r="12" spans="1:6">
      <c r="A12" s="174"/>
      <c r="B12" s="579"/>
      <c r="C12" s="54"/>
      <c r="D12" s="122"/>
      <c r="E12" s="52"/>
    </row>
    <row r="13" spans="1:6">
      <c r="A13" s="174" t="s">
        <v>62</v>
      </c>
      <c r="B13" s="579"/>
      <c r="C13" s="54"/>
      <c r="D13" s="122"/>
      <c r="E13" s="52"/>
    </row>
    <row r="14" spans="1:6">
      <c r="A14" s="175" t="s">
        <v>63</v>
      </c>
      <c r="B14" s="580">
        <v>7</v>
      </c>
      <c r="C14" s="512">
        <v>3515.47</v>
      </c>
      <c r="D14" s="122"/>
      <c r="E14" s="534">
        <v>3163</v>
      </c>
    </row>
    <row r="15" spans="1:6">
      <c r="A15" s="175" t="s">
        <v>64</v>
      </c>
      <c r="B15" s="580">
        <v>7</v>
      </c>
      <c r="C15" s="512">
        <v>4145.57</v>
      </c>
      <c r="D15" s="122"/>
      <c r="E15" s="534">
        <v>3427</v>
      </c>
    </row>
    <row r="16" spans="1:6">
      <c r="A16" s="175" t="s">
        <v>65</v>
      </c>
      <c r="B16" s="579">
        <v>6</v>
      </c>
      <c r="C16" s="14">
        <v>0</v>
      </c>
      <c r="D16" s="122"/>
      <c r="E16" s="534">
        <v>-235</v>
      </c>
    </row>
    <row r="17" spans="1:5">
      <c r="A17" s="175" t="s">
        <v>496</v>
      </c>
      <c r="B17" s="579"/>
      <c r="C17" s="178">
        <v>-42.561</v>
      </c>
      <c r="D17" s="178"/>
      <c r="E17" s="534">
        <v>-23</v>
      </c>
    </row>
    <row r="18" spans="1:5">
      <c r="A18" s="175" t="s">
        <v>516</v>
      </c>
      <c r="B18" s="579"/>
      <c r="C18" s="178">
        <v>-320.5</v>
      </c>
      <c r="D18" s="178"/>
      <c r="E18" s="534">
        <v>-63</v>
      </c>
    </row>
    <row r="19" spans="1:5">
      <c r="A19" s="175" t="s">
        <v>858</v>
      </c>
      <c r="B19" s="579"/>
      <c r="C19" s="529">
        <v>397.14</v>
      </c>
      <c r="D19" s="122"/>
      <c r="E19" s="535">
        <v>-563</v>
      </c>
    </row>
    <row r="20" spans="1:5">
      <c r="A20" s="175" t="s">
        <v>859</v>
      </c>
      <c r="B20" s="579"/>
      <c r="C20" s="14">
        <v>185</v>
      </c>
      <c r="D20" s="122"/>
      <c r="E20" s="535">
        <v>169</v>
      </c>
    </row>
    <row r="21" spans="1:5">
      <c r="A21" s="175" t="s">
        <v>860</v>
      </c>
      <c r="B21" s="579"/>
      <c r="C21" s="512">
        <v>3455.37</v>
      </c>
      <c r="D21" s="122"/>
      <c r="E21" s="535">
        <v>5446</v>
      </c>
    </row>
    <row r="22" spans="1:5">
      <c r="A22" s="175" t="s">
        <v>861</v>
      </c>
      <c r="B22" s="579"/>
      <c r="C22" s="179">
        <v>-2257</v>
      </c>
      <c r="D22" s="122"/>
      <c r="E22" s="535">
        <v>1038</v>
      </c>
    </row>
    <row r="23" spans="1:5">
      <c r="A23" s="175" t="s">
        <v>862</v>
      </c>
      <c r="B23" s="579"/>
      <c r="C23" s="14">
        <v>315</v>
      </c>
      <c r="D23" s="122"/>
      <c r="E23" s="535">
        <v>1625</v>
      </c>
    </row>
    <row r="24" spans="1:5">
      <c r="A24" s="175" t="s">
        <v>66</v>
      </c>
      <c r="C24" s="14">
        <v>0</v>
      </c>
      <c r="D24" s="122"/>
      <c r="E24" s="534">
        <v>-372</v>
      </c>
    </row>
    <row r="25" spans="1:5" s="14" customFormat="1">
      <c r="A25" s="174" t="s">
        <v>863</v>
      </c>
      <c r="B25" s="140"/>
      <c r="C25" s="177">
        <f>SUM(C11:C24)</f>
        <v>16980.584999999999</v>
      </c>
      <c r="D25" s="18"/>
      <c r="E25" s="533">
        <f>SUM(E11:E24)</f>
        <v>20638</v>
      </c>
    </row>
    <row r="26" spans="1:5">
      <c r="A26" s="174"/>
      <c r="C26" s="54"/>
      <c r="D26" s="122"/>
      <c r="E26" s="52"/>
    </row>
    <row r="27" spans="1:5">
      <c r="A27" s="174" t="s">
        <v>78</v>
      </c>
      <c r="C27" s="54"/>
      <c r="D27" s="122"/>
      <c r="E27" s="52"/>
    </row>
    <row r="28" spans="1:5">
      <c r="A28" s="175" t="s">
        <v>67</v>
      </c>
      <c r="B28" s="398"/>
      <c r="C28" s="529">
        <v>255</v>
      </c>
      <c r="D28" s="122"/>
      <c r="E28" s="534">
        <v>251</v>
      </c>
    </row>
    <row r="29" spans="1:5">
      <c r="A29" s="175" t="s">
        <v>68</v>
      </c>
      <c r="C29" s="179">
        <v>-72</v>
      </c>
      <c r="D29" s="122"/>
      <c r="E29" s="535">
        <v>-171</v>
      </c>
    </row>
    <row r="30" spans="1:5">
      <c r="A30" s="175" t="s">
        <v>69</v>
      </c>
      <c r="C30" s="178">
        <v>-23246</v>
      </c>
      <c r="D30" s="122"/>
      <c r="E30" s="534">
        <v>-10058</v>
      </c>
    </row>
    <row r="31" spans="1:5" hidden="1">
      <c r="A31" s="175" t="s">
        <v>70</v>
      </c>
      <c r="C31" s="178">
        <v>0</v>
      </c>
      <c r="D31" s="122"/>
      <c r="E31" s="534">
        <v>0</v>
      </c>
    </row>
    <row r="32" spans="1:5" s="14" customFormat="1">
      <c r="A32" s="180" t="s">
        <v>864</v>
      </c>
      <c r="B32" s="140"/>
      <c r="C32" s="177">
        <f>SUM(C28:C31)</f>
        <v>-23063</v>
      </c>
      <c r="D32" s="18"/>
      <c r="E32" s="533">
        <f>SUM(E28:E31)</f>
        <v>-9978</v>
      </c>
    </row>
    <row r="33" spans="1:5">
      <c r="A33" s="174"/>
      <c r="C33" s="54"/>
      <c r="D33" s="122"/>
      <c r="E33" s="52"/>
    </row>
    <row r="34" spans="1:5">
      <c r="A34" s="174" t="s">
        <v>79</v>
      </c>
      <c r="C34" s="54"/>
      <c r="D34" s="122"/>
      <c r="E34" s="52"/>
    </row>
    <row r="35" spans="1:5">
      <c r="A35" s="175" t="s">
        <v>701</v>
      </c>
      <c r="C35" s="54">
        <v>163.4</v>
      </c>
      <c r="D35" s="122"/>
      <c r="E35" s="52">
        <v>0</v>
      </c>
    </row>
    <row r="36" spans="1:5">
      <c r="A36" s="175" t="s">
        <v>71</v>
      </c>
      <c r="B36" s="156"/>
      <c r="C36" s="512">
        <v>19300.400000000001</v>
      </c>
      <c r="D36" s="122"/>
      <c r="E36" s="534">
        <v>0</v>
      </c>
    </row>
    <row r="37" spans="1:5">
      <c r="A37" s="175" t="s">
        <v>72</v>
      </c>
      <c r="C37" s="179">
        <v>-34</v>
      </c>
      <c r="D37" s="122"/>
      <c r="E37" s="535">
        <v>-34</v>
      </c>
    </row>
    <row r="38" spans="1:5">
      <c r="A38" s="175" t="s">
        <v>73</v>
      </c>
      <c r="C38" s="178">
        <v>-68</v>
      </c>
      <c r="D38" s="122"/>
      <c r="E38" s="534">
        <v>-64</v>
      </c>
    </row>
    <row r="39" spans="1:5">
      <c r="A39" s="175" t="s">
        <v>74</v>
      </c>
      <c r="C39" s="179">
        <v>-477</v>
      </c>
      <c r="D39" s="122"/>
      <c r="E39" s="535">
        <v>-333</v>
      </c>
    </row>
    <row r="40" spans="1:5">
      <c r="A40" s="175" t="s">
        <v>75</v>
      </c>
      <c r="C40" s="178">
        <v>-995</v>
      </c>
      <c r="D40" s="122"/>
      <c r="E40" s="534">
        <v>-961</v>
      </c>
    </row>
    <row r="41" spans="1:5">
      <c r="A41" s="175" t="s">
        <v>76</v>
      </c>
      <c r="C41" s="178">
        <v>-3652</v>
      </c>
      <c r="D41" s="122"/>
      <c r="E41" s="534">
        <v>-3775</v>
      </c>
    </row>
    <row r="42" spans="1:5" s="14" customFormat="1">
      <c r="A42" s="180" t="s">
        <v>77</v>
      </c>
      <c r="B42" s="140"/>
      <c r="C42" s="177">
        <f>SUM(C35:C41)</f>
        <v>14237.800000000003</v>
      </c>
      <c r="D42" s="18"/>
      <c r="E42" s="533">
        <f>SUM(E36:E41)</f>
        <v>-5167</v>
      </c>
    </row>
    <row r="43" spans="1:5">
      <c r="C43" s="54"/>
      <c r="D43" s="122"/>
      <c r="E43" s="52"/>
    </row>
    <row r="44" spans="1:5" s="14" customFormat="1" ht="16.5" thickBot="1">
      <c r="A44" s="180" t="s">
        <v>865</v>
      </c>
      <c r="B44" s="140"/>
      <c r="C44" s="181">
        <f>SUM(C42,C32,C25)+1</f>
        <v>8156.385000000002</v>
      </c>
      <c r="D44" s="18"/>
      <c r="E44" s="536">
        <f>SUM(E42,E32,E25)</f>
        <v>5493</v>
      </c>
    </row>
    <row r="45" spans="1:5" s="14" customFormat="1" ht="17.25" thickTop="1" thickBot="1">
      <c r="A45" s="180" t="str">
        <f>"Cash and cash equivalents at 1 April"</f>
        <v>Cash and cash equivalents at 1 April</v>
      </c>
      <c r="B45" s="140"/>
      <c r="C45" s="181">
        <v>22788</v>
      </c>
      <c r="D45" s="18"/>
      <c r="E45" s="536">
        <v>17295</v>
      </c>
    </row>
    <row r="46" spans="1:5" s="14" customFormat="1" ht="17.25" thickTop="1" thickBot="1">
      <c r="A46" s="180" t="s">
        <v>440</v>
      </c>
      <c r="B46" s="140"/>
      <c r="C46" s="181">
        <f>SUM(C44:C45)</f>
        <v>30944.385000000002</v>
      </c>
      <c r="D46" s="18"/>
      <c r="E46" s="536">
        <f>SUM(E44:E45)</f>
        <v>22788</v>
      </c>
    </row>
    <row r="47" spans="1:5" ht="16.5" thickTop="1">
      <c r="A47" s="182"/>
    </row>
  </sheetData>
  <mergeCells count="2">
    <mergeCell ref="A3:F3"/>
    <mergeCell ref="A4:F4"/>
  </mergeCells>
  <pageMargins left="0.7" right="0.7" top="0.50395833333333329" bottom="0.75" header="0.3" footer="0.3"/>
  <pageSetup paperSize="9" scale="79" orientation="portrait" verticalDpi="200" r:id="rId1"/>
  <headerFooter scaleWithDoc="0">
    <oddHeader>&amp;COxford Health NHS Foundation Trust - Annual Accounts 2012/13</oddHeader>
    <oddFooter>&amp;CPage 4 - Statement of Cash Flow</oddFooter>
  </headerFooter>
</worksheet>
</file>

<file path=xl/worksheets/sheet7.xml><?xml version="1.0" encoding="utf-8"?>
<worksheet xmlns="http://schemas.openxmlformats.org/spreadsheetml/2006/main" xmlns:r="http://schemas.openxmlformats.org/officeDocument/2006/relationships">
  <sheetPr codeName="Sheet8">
    <pageSetUpPr fitToPage="1"/>
  </sheetPr>
  <dimension ref="A1:B245"/>
  <sheetViews>
    <sheetView view="pageLayout" topLeftCell="A219" zoomScale="80" zoomScaleNormal="85" zoomScalePageLayoutView="80" workbookViewId="0">
      <selection activeCell="B46" sqref="B46"/>
    </sheetView>
  </sheetViews>
  <sheetFormatPr defaultRowHeight="15"/>
  <cols>
    <col min="1" max="1" width="5.28515625" style="62" customWidth="1"/>
    <col min="2" max="2" width="85.85546875" style="62" customWidth="1"/>
    <col min="3" max="4" width="1.85546875" style="62" customWidth="1"/>
    <col min="5" max="16384" width="9.140625" style="62"/>
  </cols>
  <sheetData>
    <row r="1" spans="1:2">
      <c r="A1" s="626"/>
      <c r="B1" s="626"/>
    </row>
    <row r="2" spans="1:2" s="63" customFormat="1" ht="15.75">
      <c r="A2" s="651" t="s">
        <v>80</v>
      </c>
      <c r="B2" s="651"/>
    </row>
    <row r="3" spans="1:2" s="63" customFormat="1" ht="9" customHeight="1">
      <c r="A3" s="31"/>
      <c r="B3" s="11"/>
    </row>
    <row r="4" spans="1:2" s="64" customFormat="1" ht="15.75">
      <c r="A4" s="32">
        <v>1</v>
      </c>
      <c r="B4" s="33" t="s">
        <v>707</v>
      </c>
    </row>
    <row r="5" spans="1:2" s="65" customFormat="1" ht="102.75" customHeight="1">
      <c r="A5" s="34"/>
      <c r="B5" s="41" t="s">
        <v>634</v>
      </c>
    </row>
    <row r="6" spans="1:2" s="65" customFormat="1" ht="12.75">
      <c r="A6" s="34"/>
      <c r="B6" s="41"/>
    </row>
    <row r="7" spans="1:2" s="63" customFormat="1" ht="46.5" customHeight="1">
      <c r="A7" s="31"/>
      <c r="B7" s="61" t="s">
        <v>407</v>
      </c>
    </row>
    <row r="8" spans="1:2" s="63" customFormat="1" ht="100.5" customHeight="1">
      <c r="A8" s="31"/>
      <c r="B8" s="61" t="s">
        <v>878</v>
      </c>
    </row>
    <row r="9" spans="1:2" s="63" customFormat="1" ht="12.75">
      <c r="A9" s="31"/>
      <c r="B9" s="61"/>
    </row>
    <row r="10" spans="1:2" s="66" customFormat="1">
      <c r="A10" s="35">
        <v>1.1000000000000001</v>
      </c>
      <c r="B10" s="36" t="s">
        <v>81</v>
      </c>
    </row>
    <row r="11" spans="1:2" s="67" customFormat="1" ht="118.5" customHeight="1">
      <c r="B11" s="39" t="s">
        <v>82</v>
      </c>
    </row>
    <row r="12" spans="1:2" s="67" customFormat="1" ht="11.25" customHeight="1">
      <c r="A12" s="37"/>
      <c r="B12" s="68"/>
    </row>
    <row r="13" spans="1:2" s="66" customFormat="1">
      <c r="A13" s="35">
        <v>1.2</v>
      </c>
      <c r="B13" s="36" t="s">
        <v>705</v>
      </c>
    </row>
    <row r="14" spans="1:2" s="63" customFormat="1" ht="20.25" customHeight="1">
      <c r="B14" s="69" t="s">
        <v>706</v>
      </c>
    </row>
    <row r="15" spans="1:2" s="63" customFormat="1" ht="51" customHeight="1">
      <c r="A15" s="31"/>
      <c r="B15" s="39" t="s">
        <v>83</v>
      </c>
    </row>
    <row r="16" spans="1:2" s="63" customFormat="1" ht="11.25" customHeight="1">
      <c r="A16" s="31"/>
    </row>
    <row r="17" spans="1:2" s="63" customFormat="1" ht="12.75">
      <c r="A17" s="70"/>
      <c r="B17" s="69" t="s">
        <v>84</v>
      </c>
    </row>
    <row r="18" spans="1:2" s="40" customFormat="1" ht="21" customHeight="1">
      <c r="A18" s="31"/>
      <c r="B18" s="72" t="s">
        <v>708</v>
      </c>
    </row>
    <row r="19" spans="1:2" s="63" customFormat="1" ht="63.75">
      <c r="A19" s="71"/>
      <c r="B19" s="47" t="s">
        <v>449</v>
      </c>
    </row>
    <row r="20" spans="1:2" s="63" customFormat="1" ht="12.75">
      <c r="A20" s="31"/>
    </row>
    <row r="21" spans="1:2" s="63" customFormat="1" ht="13.5" customHeight="1">
      <c r="A21" s="70"/>
      <c r="B21" s="73" t="s">
        <v>86</v>
      </c>
    </row>
    <row r="22" spans="1:2" s="63" customFormat="1" ht="12.75">
      <c r="A22" s="31"/>
      <c r="B22" s="73"/>
    </row>
    <row r="23" spans="1:2" s="63" customFormat="1" ht="51">
      <c r="A23" s="31"/>
      <c r="B23" s="47" t="s">
        <v>87</v>
      </c>
    </row>
    <row r="24" spans="1:2" s="63" customFormat="1" ht="39" customHeight="1">
      <c r="A24" s="70"/>
      <c r="B24" s="47"/>
    </row>
    <row r="25" spans="1:2" s="63" customFormat="1" ht="18" customHeight="1">
      <c r="A25" s="630"/>
      <c r="B25" s="631"/>
    </row>
    <row r="26" spans="1:2" s="63" customFormat="1" ht="17.25" customHeight="1">
      <c r="A26" s="70"/>
      <c r="B26" s="74" t="s">
        <v>709</v>
      </c>
    </row>
    <row r="27" spans="1:2" s="63" customFormat="1" ht="51.75" customHeight="1">
      <c r="A27" s="31"/>
      <c r="B27" s="47" t="s">
        <v>822</v>
      </c>
    </row>
    <row r="28" spans="1:2" s="63" customFormat="1" ht="15" customHeight="1">
      <c r="A28" s="31"/>
      <c r="B28" s="47"/>
    </row>
    <row r="29" spans="1:2" s="63" customFormat="1" ht="66.75" customHeight="1">
      <c r="A29" s="31"/>
      <c r="B29" s="47" t="s">
        <v>526</v>
      </c>
    </row>
    <row r="30" spans="1:2" s="63" customFormat="1" ht="18.75" customHeight="1">
      <c r="A30" s="31"/>
      <c r="B30" s="47"/>
    </row>
    <row r="31" spans="1:2" s="40" customFormat="1">
      <c r="A31" s="35">
        <v>1.3</v>
      </c>
      <c r="B31" s="36" t="s">
        <v>88</v>
      </c>
    </row>
    <row r="32" spans="1:2" s="63" customFormat="1" ht="51">
      <c r="B32" s="47" t="s">
        <v>89</v>
      </c>
    </row>
    <row r="33" spans="1:2" s="63" customFormat="1" ht="12.75">
      <c r="A33" s="37"/>
      <c r="B33" s="75"/>
    </row>
    <row r="34" spans="1:2" s="66" customFormat="1">
      <c r="A34" s="35">
        <v>1.4</v>
      </c>
      <c r="B34" s="36" t="s">
        <v>710</v>
      </c>
    </row>
    <row r="35" spans="1:2" s="63" customFormat="1" ht="12.75">
      <c r="B35" s="76" t="s">
        <v>90</v>
      </c>
    </row>
    <row r="36" spans="1:2" s="63" customFormat="1" ht="64.5" customHeight="1">
      <c r="A36" s="37"/>
      <c r="B36" s="39" t="s">
        <v>91</v>
      </c>
    </row>
    <row r="37" spans="1:2" s="63" customFormat="1" ht="90" customHeight="1">
      <c r="A37" s="38"/>
      <c r="B37" s="135" t="s">
        <v>649</v>
      </c>
    </row>
    <row r="38" spans="1:2" s="63" customFormat="1" ht="38.25">
      <c r="A38" s="38"/>
      <c r="B38" s="39" t="s">
        <v>472</v>
      </c>
    </row>
    <row r="39" spans="1:2" s="63" customFormat="1" ht="12.75">
      <c r="A39" s="38"/>
    </row>
    <row r="40" spans="1:2" s="63" customFormat="1" ht="12.75">
      <c r="A40" s="77"/>
      <c r="B40" s="78" t="s">
        <v>92</v>
      </c>
    </row>
    <row r="41" spans="1:2" s="63" customFormat="1" ht="12.75">
      <c r="A41" s="77"/>
      <c r="B41" s="76" t="s">
        <v>93</v>
      </c>
    </row>
    <row r="42" spans="1:2" s="63" customFormat="1" ht="51">
      <c r="A42" s="38"/>
      <c r="B42" s="41" t="s">
        <v>431</v>
      </c>
    </row>
    <row r="43" spans="1:2" s="63" customFormat="1" ht="64.5" customHeight="1">
      <c r="A43" s="31"/>
      <c r="B43" s="39" t="s">
        <v>823</v>
      </c>
    </row>
    <row r="44" spans="1:2" s="63" customFormat="1" ht="8.25" customHeight="1">
      <c r="A44" s="38"/>
      <c r="B44" s="39"/>
    </row>
    <row r="45" spans="1:2" s="63" customFormat="1" ht="38.25">
      <c r="A45" s="38"/>
      <c r="B45" s="495" t="s">
        <v>664</v>
      </c>
    </row>
    <row r="46" spans="1:2" s="63" customFormat="1" ht="9.75" customHeight="1">
      <c r="A46" s="38"/>
      <c r="B46" s="80"/>
    </row>
    <row r="47" spans="1:2" s="63" customFormat="1" ht="51">
      <c r="A47" s="38"/>
      <c r="B47" s="39" t="s">
        <v>475</v>
      </c>
    </row>
    <row r="48" spans="1:2" s="63" customFormat="1" ht="9" customHeight="1">
      <c r="A48" s="38"/>
      <c r="B48" s="39"/>
    </row>
    <row r="49" spans="1:2" s="63" customFormat="1" ht="25.5">
      <c r="A49" s="38"/>
      <c r="B49" s="41" t="s">
        <v>824</v>
      </c>
    </row>
    <row r="50" spans="1:2" s="63" customFormat="1" ht="24" customHeight="1">
      <c r="A50" s="31"/>
      <c r="B50" s="41"/>
    </row>
    <row r="51" spans="1:2" s="63" customFormat="1" ht="12.75">
      <c r="A51" s="632"/>
      <c r="B51" s="634"/>
    </row>
    <row r="52" spans="1:2" s="63" customFormat="1" ht="25.5">
      <c r="A52" s="31"/>
      <c r="B52" s="41" t="s">
        <v>489</v>
      </c>
    </row>
    <row r="53" spans="1:2" s="63" customFormat="1" ht="6.75" customHeight="1">
      <c r="A53" s="31"/>
      <c r="B53" s="41"/>
    </row>
    <row r="54" spans="1:2" s="63" customFormat="1" ht="12.75">
      <c r="A54" s="31"/>
      <c r="B54" s="76" t="s">
        <v>94</v>
      </c>
    </row>
    <row r="55" spans="1:2" s="63" customFormat="1" ht="114.75">
      <c r="A55" s="31"/>
      <c r="B55" s="79" t="s">
        <v>473</v>
      </c>
    </row>
    <row r="56" spans="1:2" s="63" customFormat="1" ht="18.75" customHeight="1">
      <c r="A56" s="31"/>
      <c r="B56" s="79"/>
    </row>
    <row r="57" spans="1:2" s="63" customFormat="1" ht="12.75">
      <c r="A57" s="31"/>
      <c r="B57" s="76" t="s">
        <v>95</v>
      </c>
    </row>
    <row r="58" spans="1:2" s="63" customFormat="1" ht="42" customHeight="1">
      <c r="A58" s="31"/>
      <c r="B58" s="80" t="s">
        <v>96</v>
      </c>
    </row>
    <row r="59" spans="1:2" s="63" customFormat="1" ht="12.75">
      <c r="A59" s="31"/>
      <c r="B59" s="80"/>
    </row>
    <row r="60" spans="1:2" s="63" customFormat="1" ht="38.25">
      <c r="A60" s="31"/>
      <c r="B60" s="41" t="s">
        <v>474</v>
      </c>
    </row>
    <row r="61" spans="1:2" s="63" customFormat="1" ht="18.75" customHeight="1">
      <c r="A61" s="31"/>
    </row>
    <row r="62" spans="1:2" s="63" customFormat="1" ht="12.75">
      <c r="A62" s="31"/>
      <c r="B62" s="76" t="s">
        <v>408</v>
      </c>
    </row>
    <row r="63" spans="1:2" s="63" customFormat="1" ht="42" customHeight="1">
      <c r="A63" s="31"/>
      <c r="B63" s="47" t="s">
        <v>409</v>
      </c>
    </row>
    <row r="64" spans="1:2" s="63" customFormat="1" ht="12.75">
      <c r="A64" s="31"/>
      <c r="B64" s="47"/>
    </row>
    <row r="65" spans="1:2" s="63" customFormat="1" ht="25.5">
      <c r="A65" s="31"/>
      <c r="B65" s="47" t="s">
        <v>410</v>
      </c>
    </row>
    <row r="66" spans="1:2" s="63" customFormat="1" ht="12.75">
      <c r="A66" s="31"/>
      <c r="B66" s="47"/>
    </row>
    <row r="67" spans="1:2" s="63" customFormat="1" ht="25.5">
      <c r="A67" s="31"/>
      <c r="B67" s="47" t="s">
        <v>97</v>
      </c>
    </row>
    <row r="68" spans="1:2" s="63" customFormat="1" ht="11.25" customHeight="1">
      <c r="A68" s="31"/>
      <c r="B68" s="73"/>
    </row>
    <row r="69" spans="1:2" s="63" customFormat="1" ht="12.75">
      <c r="A69" s="31"/>
      <c r="B69" s="81" t="s">
        <v>64</v>
      </c>
    </row>
    <row r="70" spans="1:2" s="63" customFormat="1" ht="67.5" customHeight="1">
      <c r="A70" s="31"/>
      <c r="B70" s="47" t="s">
        <v>476</v>
      </c>
    </row>
    <row r="71" spans="1:2" s="63" customFormat="1" ht="12.75">
      <c r="A71" s="31"/>
      <c r="B71" s="73"/>
    </row>
    <row r="72" spans="1:2" s="63" customFormat="1" ht="89.25">
      <c r="A72" s="31"/>
      <c r="B72" s="47" t="s">
        <v>509</v>
      </c>
    </row>
    <row r="73" spans="1:2" s="63" customFormat="1" ht="12.75">
      <c r="A73" s="31"/>
      <c r="B73" s="73"/>
    </row>
    <row r="74" spans="1:2" s="63" customFormat="1" ht="25.5">
      <c r="A74" s="31"/>
      <c r="B74" s="73" t="s">
        <v>411</v>
      </c>
    </row>
    <row r="75" spans="1:2" s="63" customFormat="1" ht="11.25" customHeight="1">
      <c r="A75" s="31"/>
      <c r="B75" s="73"/>
    </row>
    <row r="76" spans="1:2" s="63" customFormat="1" ht="110.25" customHeight="1">
      <c r="A76" s="31"/>
      <c r="B76" s="73"/>
    </row>
    <row r="77" spans="1:2" s="63" customFormat="1" ht="12.75">
      <c r="A77" s="31"/>
      <c r="B77" s="73"/>
    </row>
    <row r="78" spans="1:2" s="63" customFormat="1" ht="9" customHeight="1">
      <c r="A78" s="632"/>
      <c r="B78" s="637"/>
    </row>
    <row r="79" spans="1:2" s="40" customFormat="1" ht="12.75">
      <c r="A79" s="31"/>
      <c r="B79" s="83" t="s">
        <v>98</v>
      </c>
    </row>
    <row r="80" spans="1:2" s="401" customFormat="1" ht="19.5" customHeight="1">
      <c r="A80" s="82"/>
      <c r="B80" s="80" t="s">
        <v>477</v>
      </c>
    </row>
    <row r="81" spans="1:2" s="63" customFormat="1" ht="139.5" customHeight="1">
      <c r="A81" s="31"/>
      <c r="B81" s="41" t="s">
        <v>696</v>
      </c>
    </row>
    <row r="82" spans="1:2" s="63" customFormat="1" ht="12.75">
      <c r="A82" s="31"/>
      <c r="B82" s="39"/>
    </row>
    <row r="83" spans="1:2" s="63" customFormat="1" ht="51">
      <c r="A83" s="31"/>
      <c r="B83" s="41" t="s">
        <v>488</v>
      </c>
    </row>
    <row r="84" spans="1:2" s="63" customFormat="1" ht="12.75">
      <c r="A84" s="31"/>
      <c r="B84" s="41"/>
    </row>
    <row r="85" spans="1:2" s="63" customFormat="1" ht="38.25">
      <c r="A85" s="31"/>
      <c r="B85" s="41" t="s">
        <v>99</v>
      </c>
    </row>
    <row r="86" spans="1:2" s="63" customFormat="1" ht="16.5" customHeight="1">
      <c r="A86" s="31"/>
      <c r="B86" s="41"/>
    </row>
    <row r="87" spans="1:2" s="40" customFormat="1" ht="14.25" customHeight="1">
      <c r="A87" s="31"/>
      <c r="B87" s="83" t="s">
        <v>478</v>
      </c>
    </row>
    <row r="88" spans="1:2" s="63" customFormat="1" ht="105" customHeight="1">
      <c r="A88" s="82"/>
      <c r="B88" s="41" t="s">
        <v>880</v>
      </c>
    </row>
    <row r="89" spans="1:2" s="63" customFormat="1" ht="12.75">
      <c r="A89" s="31"/>
      <c r="B89" s="41"/>
    </row>
    <row r="90" spans="1:2" s="85" customFormat="1" ht="15" customHeight="1">
      <c r="A90" s="31"/>
      <c r="B90" s="76" t="s">
        <v>711</v>
      </c>
    </row>
    <row r="91" spans="1:2" s="63" customFormat="1" ht="53.25" customHeight="1">
      <c r="A91" s="84"/>
      <c r="B91" s="80" t="s">
        <v>100</v>
      </c>
    </row>
    <row r="92" spans="1:2" s="63" customFormat="1" ht="63.75">
      <c r="A92" s="70"/>
      <c r="B92" s="41" t="s">
        <v>479</v>
      </c>
    </row>
    <row r="93" spans="1:2" s="63" customFormat="1" ht="12.75">
      <c r="A93" s="86"/>
      <c r="B93" s="87"/>
    </row>
    <row r="94" spans="1:2" s="66" customFormat="1">
      <c r="A94" s="35">
        <v>1.5</v>
      </c>
      <c r="B94" s="36" t="s">
        <v>27</v>
      </c>
    </row>
    <row r="95" spans="1:2" s="63" customFormat="1" ht="15" customHeight="1">
      <c r="B95" s="83" t="s">
        <v>90</v>
      </c>
    </row>
    <row r="96" spans="1:2" s="63" customFormat="1" ht="54.75" customHeight="1">
      <c r="A96" s="31"/>
      <c r="B96" s="41" t="s">
        <v>101</v>
      </c>
    </row>
    <row r="97" spans="1:2" s="63" customFormat="1" ht="12.75">
      <c r="A97" s="38"/>
    </row>
    <row r="98" spans="1:2" s="63" customFormat="1" ht="12.75">
      <c r="A98" s="37"/>
      <c r="B98" s="88" t="s">
        <v>102</v>
      </c>
    </row>
    <row r="99" spans="1:2" s="63" customFormat="1" ht="25.5">
      <c r="A99" s="31"/>
      <c r="B99" s="41" t="s">
        <v>103</v>
      </c>
    </row>
    <row r="100" spans="1:2" s="63" customFormat="1" ht="12.75">
      <c r="A100" s="37"/>
      <c r="B100" s="41"/>
    </row>
    <row r="101" spans="1:2" s="63" customFormat="1" ht="12.75">
      <c r="A101" s="37"/>
      <c r="B101" s="41" t="s">
        <v>104</v>
      </c>
    </row>
    <row r="102" spans="1:2" s="63" customFormat="1" ht="12.75">
      <c r="A102" s="37"/>
      <c r="B102" s="41"/>
    </row>
    <row r="103" spans="1:2" s="63" customFormat="1" ht="51" customHeight="1">
      <c r="A103" s="37"/>
      <c r="B103" s="41"/>
    </row>
    <row r="104" spans="1:2" s="63" customFormat="1" ht="12.75">
      <c r="A104" s="638"/>
      <c r="B104" s="634"/>
    </row>
    <row r="105" spans="1:2" s="63" customFormat="1" ht="141" customHeight="1">
      <c r="A105" s="89"/>
      <c r="B105" s="41" t="s">
        <v>480</v>
      </c>
    </row>
    <row r="106" spans="1:2" s="63" customFormat="1" ht="9.75" customHeight="1">
      <c r="A106" s="37"/>
      <c r="B106" s="41"/>
    </row>
    <row r="107" spans="1:2" s="63" customFormat="1" ht="12.75">
      <c r="A107" s="38"/>
      <c r="B107" s="90" t="s">
        <v>105</v>
      </c>
    </row>
    <row r="108" spans="1:2" s="63" customFormat="1" ht="38.25">
      <c r="A108" s="77"/>
      <c r="B108" s="41" t="s">
        <v>106</v>
      </c>
    </row>
    <row r="109" spans="1:2" s="63" customFormat="1" ht="10.5" customHeight="1">
      <c r="A109" s="38"/>
    </row>
    <row r="110" spans="1:2" s="63" customFormat="1" ht="12.75">
      <c r="A110" s="94"/>
      <c r="B110" s="91" t="s">
        <v>92</v>
      </c>
    </row>
    <row r="111" spans="1:2" s="63" customFormat="1" ht="38.25">
      <c r="A111" s="38"/>
      <c r="B111" s="41" t="s">
        <v>107</v>
      </c>
    </row>
    <row r="112" spans="1:2" s="63" customFormat="1" ht="10.5" customHeight="1">
      <c r="A112" s="86"/>
    </row>
    <row r="113" spans="1:2" s="63" customFormat="1" ht="25.5">
      <c r="A113" s="37"/>
      <c r="B113" s="80" t="s">
        <v>412</v>
      </c>
    </row>
    <row r="114" spans="1:2" s="63" customFormat="1" ht="12.75" customHeight="1">
      <c r="A114" s="77"/>
    </row>
    <row r="115" spans="1:2" s="63" customFormat="1" ht="25.5">
      <c r="B115" s="41" t="s">
        <v>108</v>
      </c>
    </row>
    <row r="116" spans="1:2" s="63" customFormat="1" ht="12.75">
      <c r="B116" s="41"/>
    </row>
    <row r="117" spans="1:2" s="63" customFormat="1" ht="12.75">
      <c r="B117" s="91" t="s">
        <v>109</v>
      </c>
    </row>
    <row r="118" spans="1:2" s="63" customFormat="1" ht="25.5">
      <c r="A118" s="38"/>
      <c r="B118" s="41" t="s">
        <v>110</v>
      </c>
    </row>
    <row r="119" spans="1:2" s="63" customFormat="1" ht="12.75" customHeight="1">
      <c r="B119" s="41"/>
    </row>
    <row r="120" spans="1:2" s="63" customFormat="1">
      <c r="A120" s="35">
        <v>1.6</v>
      </c>
      <c r="B120" s="36" t="s">
        <v>712</v>
      </c>
    </row>
    <row r="121" spans="1:2" s="63" customFormat="1" ht="38.25">
      <c r="B121" s="41" t="s">
        <v>481</v>
      </c>
    </row>
    <row r="122" spans="1:2" s="63" customFormat="1" ht="13.5" customHeight="1">
      <c r="A122" s="77"/>
      <c r="B122" s="92"/>
    </row>
    <row r="123" spans="1:2" s="66" customFormat="1">
      <c r="A123" s="35">
        <v>1.73</v>
      </c>
      <c r="B123" s="36" t="s">
        <v>111</v>
      </c>
    </row>
    <row r="124" spans="1:2" s="63" customFormat="1" ht="25.5">
      <c r="B124" s="41" t="s">
        <v>688</v>
      </c>
    </row>
    <row r="125" spans="1:2" s="63" customFormat="1" ht="12.75">
      <c r="A125" s="77"/>
    </row>
    <row r="126" spans="1:2" s="66" customFormat="1">
      <c r="A126" s="35">
        <v>1.8</v>
      </c>
      <c r="B126" s="36" t="s">
        <v>112</v>
      </c>
    </row>
    <row r="127" spans="1:2" s="63" customFormat="1" ht="12.75">
      <c r="B127" s="91" t="s">
        <v>90</v>
      </c>
    </row>
    <row r="128" spans="1:2" s="63" customFormat="1" ht="51">
      <c r="A128" s="38"/>
      <c r="B128" s="41" t="s">
        <v>113</v>
      </c>
    </row>
    <row r="129" spans="1:2" s="66" customFormat="1" ht="11.25" customHeight="1">
      <c r="A129" s="37"/>
      <c r="B129" s="93"/>
    </row>
    <row r="130" spans="1:2" s="63" customFormat="1" ht="38.25">
      <c r="A130" s="38"/>
      <c r="B130" s="41" t="s">
        <v>114</v>
      </c>
    </row>
    <row r="131" spans="1:2" s="63" customFormat="1" ht="12.75">
      <c r="A131" s="38"/>
    </row>
    <row r="132" spans="1:2" s="63" customFormat="1" ht="12.75">
      <c r="A132" s="38"/>
      <c r="B132" s="91" t="s">
        <v>98</v>
      </c>
    </row>
    <row r="133" spans="1:2" s="63" customFormat="1" ht="24.75" customHeight="1">
      <c r="A133" s="38"/>
      <c r="B133" s="41" t="s">
        <v>450</v>
      </c>
    </row>
    <row r="134" spans="1:2" s="63" customFormat="1" ht="10.5" customHeight="1">
      <c r="A134" s="37"/>
      <c r="B134" s="95"/>
    </row>
    <row r="135" spans="1:2" s="63" customFormat="1" ht="12.75">
      <c r="A135" s="94"/>
      <c r="B135" s="41" t="s">
        <v>115</v>
      </c>
    </row>
    <row r="136" spans="1:2" s="63" customFormat="1" ht="12.75">
      <c r="A136" s="94"/>
      <c r="B136" s="68"/>
    </row>
    <row r="137" spans="1:2" s="63" customFormat="1" ht="12.75">
      <c r="A137" s="94"/>
      <c r="B137" s="91" t="s">
        <v>713</v>
      </c>
    </row>
    <row r="138" spans="1:2" s="63" customFormat="1" ht="12.75">
      <c r="A138" s="38"/>
      <c r="B138" s="96" t="s">
        <v>482</v>
      </c>
    </row>
    <row r="139" spans="1:2" s="63" customFormat="1" ht="9.75" customHeight="1">
      <c r="A139" s="38"/>
      <c r="B139" s="96"/>
    </row>
    <row r="140" spans="1:2" s="63" customFormat="1" ht="28.5" customHeight="1">
      <c r="A140" s="38"/>
      <c r="B140" s="97" t="s">
        <v>483</v>
      </c>
    </row>
    <row r="141" spans="1:2" s="63" customFormat="1" ht="16.5" customHeight="1">
      <c r="A141" s="633"/>
      <c r="B141" s="636"/>
    </row>
    <row r="142" spans="1:2" s="63" customFormat="1" ht="18.75" customHeight="1">
      <c r="A142" s="94"/>
      <c r="B142" s="530" t="s">
        <v>714</v>
      </c>
    </row>
    <row r="143" spans="1:2" s="63" customFormat="1" ht="63.75">
      <c r="A143" s="38"/>
      <c r="B143" s="41" t="s">
        <v>116</v>
      </c>
    </row>
    <row r="144" spans="1:2" s="63" customFormat="1" ht="12.75">
      <c r="A144" s="38"/>
      <c r="B144" s="41"/>
    </row>
    <row r="145" spans="1:2" s="63" customFormat="1" ht="38.25">
      <c r="A145" s="77"/>
      <c r="B145" s="41" t="s">
        <v>117</v>
      </c>
    </row>
    <row r="146" spans="1:2" s="63" customFormat="1" ht="12.75">
      <c r="A146" s="86"/>
      <c r="B146" s="134"/>
    </row>
    <row r="147" spans="1:2" s="63" customFormat="1" ht="12.75">
      <c r="A147" s="37"/>
      <c r="B147" s="91" t="s">
        <v>118</v>
      </c>
    </row>
    <row r="148" spans="1:2" s="63" customFormat="1" ht="25.5">
      <c r="A148" s="38"/>
      <c r="B148" s="41" t="s">
        <v>604</v>
      </c>
    </row>
    <row r="149" spans="1:2" s="63" customFormat="1" ht="12.75">
      <c r="A149" s="38"/>
      <c r="B149" s="41"/>
    </row>
    <row r="150" spans="1:2" s="63" customFormat="1" ht="28.5" customHeight="1">
      <c r="A150" s="86"/>
      <c r="B150" s="41" t="s">
        <v>119</v>
      </c>
    </row>
    <row r="151" spans="1:2" s="63" customFormat="1" ht="12.75">
      <c r="A151" s="86"/>
      <c r="B151" s="41"/>
    </row>
    <row r="152" spans="1:2" s="63" customFormat="1" ht="66.75" customHeight="1">
      <c r="A152" s="77"/>
      <c r="B152" s="41" t="s">
        <v>120</v>
      </c>
    </row>
    <row r="153" spans="1:2" s="63" customFormat="1" ht="32.25" customHeight="1">
      <c r="A153" s="77"/>
      <c r="B153" s="41" t="s">
        <v>121</v>
      </c>
    </row>
    <row r="154" spans="1:2" s="63" customFormat="1" ht="12.75">
      <c r="A154" s="77"/>
      <c r="B154" s="41"/>
    </row>
    <row r="155" spans="1:2" s="63" customFormat="1" ht="20.25" customHeight="1">
      <c r="A155" s="37"/>
      <c r="B155" s="91" t="s">
        <v>122</v>
      </c>
    </row>
    <row r="156" spans="1:2" s="63" customFormat="1" ht="63.75">
      <c r="A156" s="91"/>
      <c r="B156" s="41" t="s">
        <v>123</v>
      </c>
    </row>
    <row r="157" spans="1:2" s="91" customFormat="1" ht="12.75">
      <c r="A157" s="37"/>
      <c r="B157" s="41"/>
    </row>
    <row r="158" spans="1:2" s="63" customFormat="1" ht="25.5">
      <c r="A158" s="37"/>
      <c r="B158" s="41" t="s">
        <v>492</v>
      </c>
    </row>
    <row r="159" spans="1:2" s="63" customFormat="1" ht="12.75">
      <c r="A159" s="38"/>
      <c r="B159" s="41"/>
    </row>
    <row r="160" spans="1:2" s="63" customFormat="1" ht="38.25">
      <c r="A160" s="38"/>
      <c r="B160" s="41" t="s">
        <v>491</v>
      </c>
    </row>
    <row r="161" spans="1:2" s="63" customFormat="1" ht="12.75">
      <c r="A161" s="38"/>
      <c r="B161" s="95"/>
    </row>
    <row r="162" spans="1:2" s="63" customFormat="1" ht="12.75">
      <c r="A162" s="38"/>
      <c r="B162" s="91" t="s">
        <v>124</v>
      </c>
    </row>
    <row r="163" spans="1:2" s="63" customFormat="1" ht="25.5">
      <c r="A163" s="91"/>
      <c r="B163" s="41" t="s">
        <v>125</v>
      </c>
    </row>
    <row r="164" spans="1:2" s="91" customFormat="1" ht="12.75">
      <c r="A164" s="94"/>
      <c r="B164" s="107"/>
    </row>
    <row r="165" spans="1:2" s="63" customFormat="1" ht="12.75">
      <c r="A165" s="94"/>
      <c r="B165" s="76" t="s">
        <v>126</v>
      </c>
    </row>
    <row r="166" spans="1:2" s="63" customFormat="1" ht="63.75">
      <c r="A166" s="37"/>
      <c r="B166" s="41" t="s">
        <v>451</v>
      </c>
    </row>
    <row r="167" spans="1:2" s="63" customFormat="1" ht="63.75">
      <c r="A167" s="94"/>
      <c r="B167" s="41" t="s">
        <v>127</v>
      </c>
    </row>
    <row r="168" spans="1:2" s="63" customFormat="1" ht="42.75" customHeight="1">
      <c r="A168" s="94"/>
      <c r="B168" s="41"/>
    </row>
    <row r="169" spans="1:2" s="63" customFormat="1" ht="20.25" customHeight="1">
      <c r="A169" s="94"/>
      <c r="B169" s="41"/>
    </row>
    <row r="170" spans="1:2" s="63" customFormat="1" ht="8.25" customHeight="1">
      <c r="A170" s="635"/>
      <c r="B170" s="634"/>
    </row>
    <row r="171" spans="1:2" s="63" customFormat="1">
      <c r="A171" s="35">
        <v>1.9</v>
      </c>
      <c r="B171" s="36" t="s">
        <v>128</v>
      </c>
    </row>
    <row r="172" spans="1:2" s="63" customFormat="1" ht="12.75">
      <c r="A172" s="91"/>
      <c r="B172" s="91" t="s">
        <v>129</v>
      </c>
    </row>
    <row r="173" spans="1:2" s="63" customFormat="1" ht="63.75">
      <c r="A173" s="91"/>
      <c r="B173" s="110" t="s">
        <v>413</v>
      </c>
    </row>
    <row r="174" spans="1:2" s="91" customFormat="1" ht="12.75">
      <c r="A174" s="94"/>
      <c r="B174" s="110"/>
    </row>
    <row r="175" spans="1:2" s="63" customFormat="1" ht="25.5">
      <c r="A175" s="94"/>
      <c r="B175" s="80" t="s">
        <v>414</v>
      </c>
    </row>
    <row r="176" spans="1:2" s="63" customFormat="1" ht="12.75" customHeight="1">
      <c r="A176" s="37"/>
      <c r="B176" s="80"/>
    </row>
    <row r="177" spans="1:2" s="63" customFormat="1" ht="51">
      <c r="A177" s="37"/>
      <c r="B177" s="110" t="s">
        <v>415</v>
      </c>
    </row>
    <row r="178" spans="1:2" s="63" customFormat="1" ht="12.75">
      <c r="A178" s="37"/>
    </row>
    <row r="179" spans="1:2" s="63" customFormat="1" ht="12.75">
      <c r="A179" s="70"/>
      <c r="B179" s="91" t="s">
        <v>130</v>
      </c>
    </row>
    <row r="180" spans="1:2" s="63" customFormat="1" ht="38.25">
      <c r="A180" s="103"/>
      <c r="B180" s="41" t="s">
        <v>131</v>
      </c>
    </row>
    <row r="181" spans="1:2" s="63" customFormat="1" ht="12.75">
      <c r="A181" s="103"/>
      <c r="B181" s="95"/>
    </row>
    <row r="182" spans="1:2" s="63" customFormat="1" ht="12.75">
      <c r="A182" s="103"/>
      <c r="B182" s="91" t="s">
        <v>132</v>
      </c>
    </row>
    <row r="183" spans="1:2" s="63" customFormat="1" ht="38.25">
      <c r="A183" s="111"/>
      <c r="B183" s="41" t="s">
        <v>133</v>
      </c>
    </row>
    <row r="184" spans="1:2" s="99" customFormat="1" ht="12.75">
      <c r="A184" s="102"/>
      <c r="B184" s="68"/>
    </row>
    <row r="185" spans="1:2" s="63" customFormat="1">
      <c r="A185" s="98">
        <v>1.1000000000000001</v>
      </c>
      <c r="B185" s="36" t="s">
        <v>38</v>
      </c>
    </row>
    <row r="186" spans="1:2" s="63" customFormat="1" ht="89.25">
      <c r="B186" s="110" t="s">
        <v>684</v>
      </c>
    </row>
    <row r="187" spans="1:2" s="66" customFormat="1" ht="9.75" customHeight="1">
      <c r="A187" s="105"/>
      <c r="B187" s="95"/>
    </row>
    <row r="188" spans="1:2" s="63" customFormat="1" ht="12.75">
      <c r="A188" s="105"/>
      <c r="B188" s="91" t="s">
        <v>134</v>
      </c>
    </row>
    <row r="189" spans="1:2" s="63" customFormat="1" ht="76.5">
      <c r="A189" s="111"/>
      <c r="B189" s="41" t="s">
        <v>660</v>
      </c>
    </row>
    <row r="190" spans="1:2" s="99" customFormat="1" ht="12.75">
      <c r="A190" s="106"/>
      <c r="B190" s="107"/>
    </row>
    <row r="191" spans="1:2" s="63" customFormat="1" ht="12.75">
      <c r="A191" s="106"/>
      <c r="B191" s="91" t="s">
        <v>135</v>
      </c>
    </row>
    <row r="192" spans="1:2" s="63" customFormat="1" ht="69" customHeight="1">
      <c r="A192" s="111"/>
      <c r="B192" s="97" t="s">
        <v>136</v>
      </c>
    </row>
    <row r="193" spans="1:2" s="99" customFormat="1" ht="8.25" customHeight="1">
      <c r="A193" s="106"/>
      <c r="B193" s="95"/>
    </row>
    <row r="194" spans="1:2" s="63" customFormat="1">
      <c r="A194" s="98">
        <v>1.1100000000000001</v>
      </c>
      <c r="B194" s="36" t="s">
        <v>137</v>
      </c>
    </row>
    <row r="195" spans="1:2" s="63" customFormat="1" ht="38.25">
      <c r="B195" s="41" t="s">
        <v>537</v>
      </c>
    </row>
    <row r="196" spans="1:2" s="66" customFormat="1" ht="8.25" customHeight="1">
      <c r="A196" s="106"/>
      <c r="B196" s="41"/>
    </row>
    <row r="197" spans="1:2" s="63" customFormat="1" ht="25.5">
      <c r="A197" s="106"/>
      <c r="B197" s="41" t="s">
        <v>538</v>
      </c>
    </row>
    <row r="198" spans="1:2" s="63" customFormat="1" ht="27.75" customHeight="1">
      <c r="A198" s="103"/>
      <c r="B198" s="41" t="s">
        <v>486</v>
      </c>
    </row>
    <row r="199" spans="1:2" s="63" customFormat="1" ht="38.25">
      <c r="A199" s="99"/>
      <c r="B199" s="41" t="s">
        <v>487</v>
      </c>
    </row>
    <row r="200" spans="1:2" s="63" customFormat="1" ht="11.25" customHeight="1">
      <c r="A200" s="99"/>
      <c r="B200" s="41"/>
    </row>
    <row r="201" spans="1:2" s="99" customFormat="1" ht="12.75">
      <c r="A201" s="639"/>
      <c r="B201" s="640"/>
    </row>
    <row r="202" spans="1:2" s="63" customFormat="1">
      <c r="A202" s="98">
        <v>1.1200000000000001</v>
      </c>
      <c r="B202" s="36" t="s">
        <v>715</v>
      </c>
    </row>
    <row r="203" spans="1:2" s="63" customFormat="1" ht="38.25">
      <c r="B203" s="41" t="s">
        <v>138</v>
      </c>
    </row>
    <row r="204" spans="1:2" s="66" customFormat="1" ht="8.25" customHeight="1">
      <c r="A204" s="63"/>
      <c r="B204" s="41"/>
    </row>
    <row r="205" spans="1:2" s="63" customFormat="1" ht="127.5">
      <c r="A205" s="108"/>
      <c r="B205" s="109" t="s">
        <v>656</v>
      </c>
    </row>
    <row r="206" spans="1:2" s="63" customFormat="1" ht="12.75">
      <c r="A206" s="99"/>
    </row>
    <row r="207" spans="1:2" s="63" customFormat="1">
      <c r="A207" s="98">
        <v>1.1299999999999999</v>
      </c>
      <c r="B207" s="36" t="s">
        <v>716</v>
      </c>
    </row>
    <row r="208" spans="1:2" s="63" customFormat="1" ht="51">
      <c r="B208" s="41" t="s">
        <v>139</v>
      </c>
    </row>
    <row r="209" spans="1:2" s="66" customFormat="1" ht="14.25">
      <c r="A209" s="103"/>
      <c r="B209" s="41"/>
    </row>
    <row r="210" spans="1:2" s="63" customFormat="1">
      <c r="A210" s="98">
        <v>1.1399999999999999</v>
      </c>
      <c r="B210" s="36" t="s">
        <v>717</v>
      </c>
    </row>
    <row r="211" spans="1:2" s="63" customFormat="1" ht="41.25" customHeight="1">
      <c r="B211" s="80" t="s">
        <v>432</v>
      </c>
    </row>
    <row r="212" spans="1:2" s="63" customFormat="1" ht="12.75">
      <c r="A212" s="103"/>
      <c r="B212" s="80"/>
    </row>
    <row r="213" spans="1:2" s="63" customFormat="1">
      <c r="A213" s="98">
        <v>1.1499999999999999</v>
      </c>
      <c r="B213" s="36" t="s">
        <v>140</v>
      </c>
    </row>
    <row r="214" spans="1:2" s="63" customFormat="1" ht="12.75">
      <c r="B214" s="41" t="s">
        <v>141</v>
      </c>
    </row>
    <row r="215" spans="1:2" s="66" customFormat="1" ht="25.5">
      <c r="A215" s="102"/>
      <c r="B215" s="41" t="s">
        <v>142</v>
      </c>
    </row>
    <row r="216" spans="1:2" s="63" customFormat="1" ht="25.5">
      <c r="A216" s="103"/>
      <c r="B216" s="41" t="s">
        <v>143</v>
      </c>
    </row>
    <row r="217" spans="1:2" s="63" customFormat="1" ht="25.5">
      <c r="A217" s="104"/>
      <c r="B217" s="41" t="s">
        <v>620</v>
      </c>
    </row>
    <row r="218" spans="1:2" s="63" customFormat="1" ht="25.5">
      <c r="A218" s="105"/>
      <c r="B218" s="41" t="s">
        <v>484</v>
      </c>
    </row>
    <row r="219" spans="1:2" s="63" customFormat="1" ht="24" customHeight="1">
      <c r="A219" s="105"/>
      <c r="B219" s="41" t="s">
        <v>485</v>
      </c>
    </row>
    <row r="220" spans="1:2" s="63" customFormat="1" ht="21" customHeight="1">
      <c r="A220" s="103"/>
      <c r="B220" s="41"/>
    </row>
    <row r="221" spans="1:2" s="63" customFormat="1" ht="38.25">
      <c r="A221" s="103"/>
      <c r="B221" s="41" t="s">
        <v>144</v>
      </c>
    </row>
    <row r="222" spans="1:2" s="63" customFormat="1" ht="10.5" customHeight="1">
      <c r="A222" s="106"/>
      <c r="B222" s="41"/>
    </row>
    <row r="223" spans="1:2" s="63" customFormat="1" ht="25.5">
      <c r="A223" s="106"/>
      <c r="B223" s="41" t="s">
        <v>145</v>
      </c>
    </row>
    <row r="224" spans="1:2" s="99" customFormat="1" ht="9.75" customHeight="1">
      <c r="A224" s="106"/>
      <c r="B224" s="107"/>
    </row>
    <row r="225" spans="1:2" s="63" customFormat="1">
      <c r="A225" s="98">
        <v>1.1599999999999999</v>
      </c>
      <c r="B225" s="36" t="s">
        <v>146</v>
      </c>
    </row>
    <row r="226" spans="1:2" s="63" customFormat="1" ht="51">
      <c r="B226" s="41" t="s">
        <v>437</v>
      </c>
    </row>
    <row r="227" spans="1:2" s="63" customFormat="1" ht="35.25" customHeight="1">
      <c r="B227" s="41"/>
    </row>
    <row r="228" spans="1:2" s="63" customFormat="1" ht="84.75" customHeight="1">
      <c r="B228" s="41"/>
    </row>
    <row r="229" spans="1:2" s="66" customFormat="1">
      <c r="A229" s="641"/>
      <c r="B229" s="626"/>
    </row>
    <row r="230" spans="1:2" s="63" customFormat="1">
      <c r="A230" s="98">
        <v>1.17</v>
      </c>
      <c r="B230" s="98" t="s">
        <v>416</v>
      </c>
    </row>
    <row r="231" spans="1:2" ht="102.75">
      <c r="B231" s="361" t="s">
        <v>417</v>
      </c>
    </row>
    <row r="232" spans="1:2">
      <c r="B232" s="100"/>
    </row>
    <row r="233" spans="1:2" ht="39">
      <c r="B233" s="101" t="s">
        <v>418</v>
      </c>
    </row>
    <row r="234" spans="1:2" ht="12.75" customHeight="1"/>
    <row r="235" spans="1:2">
      <c r="A235" s="496">
        <v>1.18</v>
      </c>
      <c r="B235" s="410" t="s">
        <v>661</v>
      </c>
    </row>
    <row r="236" spans="1:2" ht="64.5">
      <c r="B236" s="97" t="s">
        <v>657</v>
      </c>
    </row>
    <row r="237" spans="1:2">
      <c r="B237" s="531"/>
    </row>
    <row r="238" spans="1:2" ht="64.5">
      <c r="B238" s="628" t="s">
        <v>658</v>
      </c>
    </row>
    <row r="239" spans="1:2">
      <c r="B239" s="97"/>
    </row>
    <row r="240" spans="1:2" ht="64.5">
      <c r="B240" s="521" t="s">
        <v>659</v>
      </c>
    </row>
    <row r="241" spans="1:2">
      <c r="B241" s="618"/>
    </row>
    <row r="242" spans="1:2">
      <c r="A242" s="496">
        <v>1.19</v>
      </c>
      <c r="B242" s="72" t="s">
        <v>838</v>
      </c>
    </row>
    <row r="243" spans="1:2" ht="166.5">
      <c r="B243" s="629" t="s">
        <v>879</v>
      </c>
    </row>
    <row r="244" spans="1:2" ht="19.5" customHeight="1"/>
    <row r="245" spans="1:2" ht="21" customHeight="1"/>
  </sheetData>
  <mergeCells count="1">
    <mergeCell ref="A2:B2"/>
  </mergeCells>
  <pageMargins left="0.70866141732283472" right="0.70866141732283472" top="0.54427083333333337" bottom="0.74803149606299213" header="0.31496062992125984" footer="0.31496062992125984"/>
  <pageSetup paperSize="9" scale="95" fitToHeight="0" orientation="portrait" verticalDpi="200" r:id="rId1"/>
  <headerFooter scaleWithDoc="0">
    <oddHeader xml:space="preserve">&amp;C     Oxford Health NHS Foundation Trust - Annual Accounts 2012/13
                     </oddHeader>
    <oddFooter xml:space="preserve">&amp;CPage &amp;P-2
</oddFooter>
  </headerFooter>
</worksheet>
</file>

<file path=xl/worksheets/sheet8.xml><?xml version="1.0" encoding="utf-8"?>
<worksheet xmlns="http://schemas.openxmlformats.org/spreadsheetml/2006/main" xmlns:r="http://schemas.openxmlformats.org/officeDocument/2006/relationships">
  <sheetPr codeName="Sheet9">
    <pageSetUpPr fitToPage="1"/>
  </sheetPr>
  <dimension ref="A1:M12"/>
  <sheetViews>
    <sheetView view="pageLayout" zoomScaleNormal="85" workbookViewId="0">
      <selection activeCell="B46" sqref="B46"/>
    </sheetView>
  </sheetViews>
  <sheetFormatPr defaultRowHeight="15"/>
  <cols>
    <col min="1" max="1" width="4.42578125" style="49" customWidth="1"/>
    <col min="2" max="2" width="17.85546875" style="49" customWidth="1"/>
    <col min="3" max="3" width="8.85546875" style="49" customWidth="1"/>
    <col min="4" max="4" width="3.28515625" style="49" customWidth="1"/>
    <col min="5" max="5" width="8.5703125" style="49" customWidth="1"/>
    <col min="6" max="6" width="3.28515625" style="49" customWidth="1"/>
    <col min="7" max="7" width="7.85546875" style="49" customWidth="1"/>
    <col min="8" max="8" width="3.140625" style="49" customWidth="1"/>
    <col min="9" max="9" width="8" style="49" customWidth="1"/>
    <col min="10" max="10" width="3.140625" style="49" customWidth="1"/>
    <col min="11" max="11" width="8.140625" style="49" customWidth="1"/>
    <col min="12" max="12" width="2.42578125" style="49" customWidth="1"/>
    <col min="13" max="13" width="12.28515625" style="49" customWidth="1"/>
    <col min="14" max="16384" width="9.140625" style="49"/>
  </cols>
  <sheetData>
    <row r="1" spans="1:13">
      <c r="A1" s="50"/>
      <c r="B1" s="50"/>
      <c r="C1" s="50"/>
      <c r="D1" s="50"/>
      <c r="E1" s="50"/>
      <c r="F1" s="50"/>
      <c r="G1" s="50"/>
      <c r="H1" s="50"/>
      <c r="I1" s="50"/>
      <c r="J1" s="50"/>
      <c r="K1" s="50"/>
      <c r="L1" s="50"/>
      <c r="M1" s="50"/>
    </row>
    <row r="2" spans="1:13" s="115" customFormat="1" ht="15" customHeight="1">
      <c r="A2" s="113">
        <v>2</v>
      </c>
      <c r="B2" s="136" t="s">
        <v>718</v>
      </c>
    </row>
    <row r="3" spans="1:13" s="13" customFormat="1" ht="7.5" customHeight="1"/>
    <row r="4" spans="1:13" s="13" customFormat="1" ht="102.75" customHeight="1">
      <c r="B4" s="653" t="s">
        <v>617</v>
      </c>
      <c r="C4" s="653"/>
      <c r="D4" s="653"/>
      <c r="E4" s="653"/>
      <c r="F4" s="653"/>
      <c r="G4" s="653"/>
      <c r="H4" s="653"/>
      <c r="I4" s="653"/>
      <c r="J4" s="653"/>
      <c r="K4" s="653"/>
      <c r="L4" s="653"/>
      <c r="M4" s="653"/>
    </row>
    <row r="5" spans="1:13" s="13" customFormat="1" ht="6.75" customHeight="1"/>
    <row r="6" spans="1:13" s="13" customFormat="1">
      <c r="A6" s="14">
        <v>2.1</v>
      </c>
      <c r="B6" s="654" t="s">
        <v>147</v>
      </c>
      <c r="C6" s="654"/>
      <c r="D6" s="654"/>
      <c r="E6" s="654"/>
      <c r="F6" s="654"/>
      <c r="G6" s="654"/>
      <c r="H6" s="654"/>
      <c r="I6" s="654"/>
      <c r="J6" s="654"/>
      <c r="K6" s="654"/>
    </row>
    <row r="7" spans="1:13" s="13" customFormat="1" ht="41.25" customHeight="1">
      <c r="B7" s="653" t="s">
        <v>493</v>
      </c>
      <c r="C7" s="653"/>
      <c r="D7" s="653"/>
      <c r="E7" s="653"/>
      <c r="F7" s="653"/>
      <c r="G7" s="653"/>
      <c r="H7" s="653"/>
      <c r="I7" s="653"/>
      <c r="J7" s="653"/>
      <c r="K7" s="653"/>
      <c r="L7" s="653"/>
      <c r="M7" s="653"/>
    </row>
    <row r="8" spans="1:13" s="13" customFormat="1" ht="138.75" customHeight="1">
      <c r="B8" s="655" t="s">
        <v>610</v>
      </c>
      <c r="C8" s="655"/>
      <c r="D8" s="655"/>
      <c r="E8" s="655"/>
      <c r="F8" s="655"/>
      <c r="G8" s="655"/>
      <c r="H8" s="655"/>
      <c r="I8" s="655"/>
      <c r="J8" s="655"/>
      <c r="K8" s="655"/>
      <c r="L8" s="655"/>
      <c r="M8" s="655"/>
    </row>
    <row r="9" spans="1:13" s="13" customFormat="1" ht="14.25"/>
    <row r="10" spans="1:13" s="13" customFormat="1">
      <c r="A10" s="14">
        <v>2.2000000000000002</v>
      </c>
      <c r="B10" s="654" t="s">
        <v>148</v>
      </c>
      <c r="C10" s="654"/>
      <c r="D10" s="654"/>
      <c r="E10" s="654"/>
      <c r="F10" s="654"/>
      <c r="G10" s="654"/>
      <c r="H10" s="654"/>
      <c r="I10" s="654"/>
      <c r="J10" s="654"/>
      <c r="K10" s="654"/>
    </row>
    <row r="11" spans="1:13" s="13" customFormat="1" ht="340.5" customHeight="1">
      <c r="B11" s="652" t="s">
        <v>719</v>
      </c>
      <c r="C11" s="652"/>
      <c r="D11" s="652"/>
      <c r="E11" s="652"/>
      <c r="F11" s="652"/>
      <c r="G11" s="652"/>
      <c r="H11" s="652"/>
      <c r="I11" s="652"/>
      <c r="J11" s="652"/>
      <c r="K11" s="652"/>
      <c r="L11" s="652"/>
      <c r="M11" s="652"/>
    </row>
    <row r="12" spans="1:13" s="13" customFormat="1" ht="14.25"/>
  </sheetData>
  <mergeCells count="6">
    <mergeCell ref="B11:M11"/>
    <mergeCell ref="B4:M4"/>
    <mergeCell ref="B6:K6"/>
    <mergeCell ref="B7:M7"/>
    <mergeCell ref="B8:M8"/>
    <mergeCell ref="B10:K10"/>
  </mergeCells>
  <pageMargins left="0.7" right="0.7" top="0.52083333333333337" bottom="0.75" header="0.3" footer="0.3"/>
  <pageSetup paperSize="9" scale="95" orientation="portrait" verticalDpi="200" r:id="rId1"/>
  <headerFooter scaleWithDoc="0">
    <oddHeader>&amp;COxford Health NHS Foundation Trust - Annual Accounts 2012/13</oddHeader>
    <oddFooter>&amp;CPage 14</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M16"/>
  <sheetViews>
    <sheetView view="pageLayout" topLeftCell="A43" zoomScaleNormal="85" workbookViewId="0">
      <selection activeCell="B46" sqref="B46"/>
    </sheetView>
  </sheetViews>
  <sheetFormatPr defaultRowHeight="15"/>
  <cols>
    <col min="1" max="1" width="4.42578125" style="49" customWidth="1"/>
    <col min="2" max="2" width="20.140625" style="49" customWidth="1"/>
    <col min="3" max="3" width="8.85546875" style="49" customWidth="1"/>
    <col min="4" max="4" width="1.85546875" style="49" customWidth="1"/>
    <col min="5" max="5" width="10.7109375" style="49" customWidth="1"/>
    <col min="6" max="6" width="3.28515625" style="49" customWidth="1"/>
    <col min="7" max="7" width="7.85546875" style="49" customWidth="1"/>
    <col min="8" max="8" width="2.140625" style="49" customWidth="1"/>
    <col min="9" max="9" width="8" style="49" customWidth="1"/>
    <col min="10" max="10" width="3.140625" style="49" customWidth="1"/>
    <col min="11" max="11" width="8.140625" style="49" customWidth="1"/>
    <col min="12" max="12" width="2.42578125" style="49" customWidth="1"/>
    <col min="13" max="13" width="9.28515625" style="49" customWidth="1"/>
    <col min="14" max="16384" width="9.140625" style="49"/>
  </cols>
  <sheetData>
    <row r="1" spans="1:13">
      <c r="A1" s="50"/>
      <c r="B1" s="50"/>
      <c r="C1" s="50"/>
      <c r="D1" s="50"/>
      <c r="E1" s="50"/>
      <c r="F1" s="50"/>
      <c r="G1" s="50"/>
      <c r="H1" s="50"/>
      <c r="I1" s="50"/>
      <c r="J1" s="50"/>
      <c r="K1" s="50"/>
      <c r="L1" s="50"/>
      <c r="M1" s="50"/>
    </row>
    <row r="2" spans="1:13" s="115" customFormat="1" ht="15.75">
      <c r="A2" s="113">
        <v>3</v>
      </c>
      <c r="B2" s="114" t="s">
        <v>399</v>
      </c>
    </row>
    <row r="3" spans="1:13" s="13" customFormat="1" ht="15" customHeight="1"/>
    <row r="4" spans="1:13" s="13" customFormat="1" ht="14.25">
      <c r="B4" s="116" t="s">
        <v>149</v>
      </c>
      <c r="C4" s="117"/>
      <c r="D4" s="117"/>
      <c r="E4" s="117"/>
      <c r="F4" s="117"/>
      <c r="G4" s="117"/>
      <c r="H4" s="117"/>
      <c r="I4" s="117"/>
      <c r="J4" s="117"/>
      <c r="K4" s="117"/>
    </row>
    <row r="5" spans="1:13" s="13" customFormat="1" ht="35.25" customHeight="1">
      <c r="B5" s="656" t="s">
        <v>611</v>
      </c>
      <c r="C5" s="656"/>
      <c r="D5" s="656"/>
      <c r="E5" s="656"/>
      <c r="F5" s="656"/>
      <c r="G5" s="656"/>
      <c r="H5" s="656"/>
      <c r="I5" s="656"/>
      <c r="J5" s="656"/>
      <c r="K5" s="656"/>
      <c r="L5" s="656"/>
      <c r="M5" s="656"/>
    </row>
    <row r="6" spans="1:13" s="13" customFormat="1" ht="18.75" customHeight="1">
      <c r="B6" s="118" t="s">
        <v>866</v>
      </c>
      <c r="C6" s="117"/>
      <c r="D6" s="117"/>
      <c r="E6" s="117"/>
      <c r="F6" s="117"/>
      <c r="G6" s="117"/>
      <c r="H6" s="117"/>
      <c r="I6" s="117"/>
      <c r="J6" s="117"/>
      <c r="K6" s="117"/>
    </row>
    <row r="8" spans="1:13" s="14" customFormat="1" ht="33.75" customHeight="1">
      <c r="C8" s="657" t="s">
        <v>589</v>
      </c>
      <c r="D8" s="657"/>
      <c r="E8" s="657"/>
      <c r="F8" s="119"/>
      <c r="G8" s="657" t="s">
        <v>490</v>
      </c>
      <c r="H8" s="657"/>
      <c r="I8" s="657"/>
      <c r="J8" s="119"/>
      <c r="K8" s="658" t="s">
        <v>53</v>
      </c>
      <c r="L8" s="658"/>
      <c r="M8" s="658"/>
    </row>
    <row r="9" spans="1:13">
      <c r="B9" s="13"/>
      <c r="C9" s="120" t="str">
        <f>This_year</f>
        <v>2012/13</v>
      </c>
      <c r="D9" s="121"/>
      <c r="E9" s="121" t="str">
        <f>Last_year</f>
        <v>2011/12</v>
      </c>
      <c r="F9" s="121"/>
      <c r="G9" s="120" t="str">
        <f>This_year</f>
        <v>2012/13</v>
      </c>
      <c r="H9" s="121"/>
      <c r="I9" s="121" t="str">
        <f>Last_year</f>
        <v>2011/12</v>
      </c>
      <c r="J9" s="121"/>
      <c r="K9" s="120" t="str">
        <f>This_year</f>
        <v>2012/13</v>
      </c>
      <c r="L9" s="121"/>
      <c r="M9" s="121" t="str">
        <f>Last_year</f>
        <v>2011/12</v>
      </c>
    </row>
    <row r="10" spans="1:13">
      <c r="B10" s="13"/>
      <c r="C10" s="555" t="s">
        <v>24</v>
      </c>
      <c r="D10" s="555"/>
      <c r="E10" s="570" t="s">
        <v>24</v>
      </c>
      <c r="F10" s="13"/>
      <c r="G10" s="555" t="s">
        <v>24</v>
      </c>
      <c r="H10" s="555"/>
      <c r="I10" s="570" t="s">
        <v>24</v>
      </c>
      <c r="J10" s="13"/>
      <c r="K10" s="555" t="s">
        <v>24</v>
      </c>
      <c r="L10" s="555"/>
      <c r="M10" s="570" t="s">
        <v>24</v>
      </c>
    </row>
    <row r="11" spans="1:13" ht="12.75" customHeight="1">
      <c r="B11" s="13"/>
      <c r="C11" s="555"/>
      <c r="D11" s="555"/>
      <c r="E11" s="570"/>
      <c r="F11" s="13"/>
      <c r="G11" s="555"/>
      <c r="H11" s="555"/>
      <c r="I11" s="570"/>
      <c r="J11" s="13"/>
      <c r="K11" s="555"/>
      <c r="L11" s="555"/>
      <c r="M11" s="570"/>
    </row>
    <row r="12" spans="1:13">
      <c r="B12" s="14" t="s">
        <v>81</v>
      </c>
      <c r="C12" s="18">
        <f>K12-G12</f>
        <v>263588.34999999998</v>
      </c>
      <c r="D12" s="122"/>
      <c r="E12" s="122">
        <f>M12-I12</f>
        <v>255146</v>
      </c>
      <c r="F12" s="122"/>
      <c r="G12" s="512">
        <v>16208.65</v>
      </c>
      <c r="H12" s="122"/>
      <c r="I12" s="122">
        <v>17363</v>
      </c>
      <c r="J12" s="122"/>
      <c r="K12" s="18">
        <v>279797</v>
      </c>
      <c r="L12" s="18"/>
      <c r="M12" s="122">
        <v>272509</v>
      </c>
    </row>
    <row r="13" spans="1:13" ht="12.75" customHeight="1">
      <c r="B13" s="13"/>
      <c r="C13" s="18"/>
      <c r="D13" s="122"/>
      <c r="E13" s="122"/>
      <c r="F13" s="122"/>
      <c r="G13" s="18"/>
      <c r="H13" s="122"/>
      <c r="I13" s="122"/>
      <c r="J13" s="122"/>
      <c r="K13" s="18"/>
      <c r="L13" s="122"/>
      <c r="M13" s="122"/>
    </row>
    <row r="14" spans="1:13" ht="30">
      <c r="B14" s="123" t="s">
        <v>61</v>
      </c>
      <c r="C14" s="18">
        <f>K14-G14</f>
        <v>7489.7470000000003</v>
      </c>
      <c r="D14" s="122"/>
      <c r="E14" s="122">
        <f>M14-I14</f>
        <v>7156</v>
      </c>
      <c r="F14" s="122"/>
      <c r="G14" s="512">
        <v>97.253</v>
      </c>
      <c r="H14" s="122"/>
      <c r="I14" s="122">
        <v>-130</v>
      </c>
      <c r="J14" s="122"/>
      <c r="K14" s="512">
        <v>7587</v>
      </c>
      <c r="L14" s="122"/>
      <c r="M14" s="122">
        <v>7026</v>
      </c>
    </row>
    <row r="16" spans="1:13" ht="45" customHeight="1">
      <c r="B16" s="652" t="s">
        <v>419</v>
      </c>
      <c r="C16" s="652"/>
      <c r="D16" s="652"/>
      <c r="E16" s="652"/>
      <c r="F16" s="652"/>
      <c r="G16" s="652"/>
      <c r="H16" s="652"/>
      <c r="I16" s="652"/>
      <c r="J16" s="652"/>
      <c r="K16" s="652"/>
      <c r="L16" s="652"/>
      <c r="M16" s="652"/>
    </row>
  </sheetData>
  <mergeCells count="5">
    <mergeCell ref="B5:M5"/>
    <mergeCell ref="B16:M16"/>
    <mergeCell ref="C8:E8"/>
    <mergeCell ref="G8:I8"/>
    <mergeCell ref="K8:M8"/>
  </mergeCells>
  <pageMargins left="0.7" right="0.7" top="0.52083333333333337" bottom="0.75" header="0.3" footer="0.3"/>
  <pageSetup paperSize="9" scale="96" orientation="portrait" verticalDpi="200" r:id="rId1"/>
  <headerFooter scaleWithDoc="0">
    <oddHeader xml:space="preserve">&amp;COxford Health NHS Foundation Trust - Annual Accounts 2012/13
</oddHeader>
    <oddFooter>&amp;CPage 15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9</vt:i4>
      </vt:variant>
    </vt:vector>
  </HeadingPairs>
  <TitlesOfParts>
    <vt:vector size="46" baseType="lpstr">
      <vt:lpstr>Intro</vt:lpstr>
      <vt:lpstr>Foreword</vt:lpstr>
      <vt:lpstr>SoCI</vt:lpstr>
      <vt:lpstr>SoFP</vt:lpstr>
      <vt:lpstr>SoCITE</vt:lpstr>
      <vt:lpstr>SoCF</vt:lpstr>
      <vt:lpstr>Accounting Policies</vt:lpstr>
      <vt:lpstr>Est &amp; Judgements </vt:lpstr>
      <vt:lpstr>Segment </vt:lpstr>
      <vt:lpstr>Income</vt:lpstr>
      <vt:lpstr>Other Inc &amp; Exp</vt:lpstr>
      <vt:lpstr>Staff Costs</vt:lpstr>
      <vt:lpstr>Pensions</vt:lpstr>
      <vt:lpstr>Leases &amp; Audit</vt:lpstr>
      <vt:lpstr>PSPP &amp; Finance</vt:lpstr>
      <vt:lpstr>Intangibles</vt:lpstr>
      <vt:lpstr>Tangibles 1</vt:lpstr>
      <vt:lpstr>Tangibles 2</vt:lpstr>
      <vt:lpstr>Tangibles 3</vt:lpstr>
      <vt:lpstr>Impairments &amp; Stock</vt:lpstr>
      <vt:lpstr>Receivables</vt:lpstr>
      <vt:lpstr>Disposal Groups</vt:lpstr>
      <vt:lpstr>Payables &amp; Borrowings</vt:lpstr>
      <vt:lpstr>Other Fin. Liabilities</vt:lpstr>
      <vt:lpstr>Provisions</vt:lpstr>
      <vt:lpstr>Revaluation Reserves</vt:lpstr>
      <vt:lpstr>Cash</vt:lpstr>
      <vt:lpstr>Pooled Budgets OCC</vt:lpstr>
      <vt:lpstr>Pooled Budgets BCC</vt:lpstr>
      <vt:lpstr>PFI</vt:lpstr>
      <vt:lpstr>Comit, pst bs date, contingent</vt:lpstr>
      <vt:lpstr>Related Parties</vt:lpstr>
      <vt:lpstr>PDC &amp; PBL</vt:lpstr>
      <vt:lpstr>Fin. Instruments </vt:lpstr>
      <vt:lpstr>Risk Man</vt:lpstr>
      <vt:lpstr>3rd Party Ass. I-G Bal. Losses</vt:lpstr>
      <vt:lpstr>BCC Pension</vt:lpstr>
      <vt:lpstr>Last_year</vt:lpstr>
      <vt:lpstr>Last_year_ended</vt:lpstr>
      <vt:lpstr>'Accounting Policies'!Print_Area</vt:lpstr>
      <vt:lpstr>Intro!Print_Area</vt:lpstr>
      <vt:lpstr>'Tangibles 1'!Print_Area</vt:lpstr>
      <vt:lpstr>This_year</vt:lpstr>
      <vt:lpstr>This_year_beginning</vt:lpstr>
      <vt:lpstr>This_year_ended</vt:lpstr>
      <vt:lpstr>Trust_name</vt:lpstr>
    </vt:vector>
  </TitlesOfParts>
  <Company>NHS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kirk.vian</dc:creator>
  <cp:lastModifiedBy>justinian.habner</cp:lastModifiedBy>
  <cp:lastPrinted>2013-05-28T13:45:01Z</cp:lastPrinted>
  <dcterms:created xsi:type="dcterms:W3CDTF">2011-02-01T16:31:48Z</dcterms:created>
  <dcterms:modified xsi:type="dcterms:W3CDTF">2013-07-08T12:00:08Z</dcterms:modified>
  <cp:contentStatus/>
</cp:coreProperties>
</file>